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T:\Jobs\DO\_NonFeature\Science and Technology\2017-PRG-WaTER Model Updates\RPT\Final Report\"/>
    </mc:Choice>
  </mc:AlternateContent>
  <xr:revisionPtr revIDLastSave="0" documentId="13_ncr:1_{FA886EA6-7115-4976-9F97-F86C243A9EF7}" xr6:coauthVersionLast="47" xr6:coauthVersionMax="47" xr10:uidLastSave="{00000000-0000-0000-0000-000000000000}"/>
  <bookViews>
    <workbookView xWindow="-8142" yWindow="7650" windowWidth="17280" windowHeight="9984" tabRatio="903" xr2:uid="{5100BB23-467C-493C-95FD-B800434D0328}"/>
  </bookViews>
  <sheets>
    <sheet name="Documentation" sheetId="17" r:id="rId1"/>
    <sheet name="Flows and Recovery" sheetId="2" r:id="rId2"/>
    <sheet name="Water Quality" sheetId="4" r:id="rId3"/>
    <sheet name="Baseline Cost Summary" sheetId="9" r:id="rId4"/>
    <sheet name="Case 2 MF-NF Cost Summary" sheetId="5" r:id="rId5"/>
    <sheet name="Case 3 EC-MF-NF Cost Summary" sheetId="6" r:id="rId6"/>
    <sheet name="WaTER I_O-Baseline-Alum" sheetId="8" r:id="rId7"/>
    <sheet name="WaTER I_O-Baseline-MediaF" sheetId="7" r:id="rId8"/>
    <sheet name="WaTER I_O - Baseline-EDR" sheetId="3" r:id="rId9"/>
    <sheet name="WaTER I_O - Case 2 MF" sheetId="15" r:id="rId10"/>
    <sheet name="WaTER I_O - Case 2 NF" sheetId="11" r:id="rId11"/>
    <sheet name="WaTER I_O - Case 3 EC" sheetId="16" r:id="rId12"/>
    <sheet name="WaTER I_O - Case 3 MF" sheetId="10" r:id="rId13"/>
    <sheet name="WaTER I_O - Case 3 NF" sheetId="12" r:id="rId14"/>
    <sheet name="WAVE IO" sheetId="13" r:id="rId15"/>
  </sheets>
  <externalReferences>
    <externalReference r:id="rId16"/>
    <externalReference r:id="rId17"/>
    <externalReference r:id="rId18"/>
  </externalReferences>
  <definedNames>
    <definedName name="ENR_CCI">'[1]{d}Cost Index'!$B$10</definedName>
    <definedName name="ENR_Labor">'[2]{d}Cost Index'!$B$11</definedName>
    <definedName name="EREff" localSheetId="13">'WaTER I_O - Case 3 NF'!$J$36</definedName>
    <definedName name="EREff">'WaTER I_O - Case 2 NF'!$J$36</definedName>
    <definedName name="IndexDate">'[3]{d}Cost Index'!$B$8</definedName>
    <definedName name="Interest">'[1]{d}Cost Index'!$B$24</definedName>
    <definedName name="Power">'[2]{d}Cost Index'!$B$21</definedName>
    <definedName name="Years">'[1]{d}Cost Index'!$B$25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8" l="1"/>
  <c r="G34" i="6"/>
  <c r="F22" i="6"/>
  <c r="C20" i="6"/>
  <c r="F20" i="6" s="1"/>
  <c r="C18" i="6"/>
  <c r="C28" i="6" s="1"/>
  <c r="C41" i="6"/>
  <c r="C40" i="6"/>
  <c r="C39" i="6"/>
  <c r="C14" i="6"/>
  <c r="C13" i="6"/>
  <c r="F35" i="6"/>
  <c r="D33" i="6"/>
  <c r="D23" i="6"/>
  <c r="D32" i="6" s="1"/>
  <c r="D21" i="6"/>
  <c r="D31" i="6" s="1"/>
  <c r="D19" i="6"/>
  <c r="D18" i="6"/>
  <c r="D14" i="6"/>
  <c r="D39" i="6" s="1"/>
  <c r="D13" i="6"/>
  <c r="D13" i="5"/>
  <c r="E32" i="5"/>
  <c r="E37" i="5" s="1"/>
  <c r="E38" i="5" s="1"/>
  <c r="D31" i="5"/>
  <c r="C30" i="5"/>
  <c r="C31" i="5"/>
  <c r="D22" i="5"/>
  <c r="E22" i="5" s="1"/>
  <c r="C18" i="5"/>
  <c r="C27" i="5" s="1"/>
  <c r="C21" i="5"/>
  <c r="C29" i="5" s="1"/>
  <c r="C19" i="5"/>
  <c r="C28" i="5" s="1"/>
  <c r="C17" i="5"/>
  <c r="C26" i="5" s="1"/>
  <c r="C12" i="5"/>
  <c r="C13" i="5"/>
  <c r="C36" i="5" s="1"/>
  <c r="D14" i="10"/>
  <c r="D15" i="10"/>
  <c r="D32" i="10" s="1"/>
  <c r="D22" i="15"/>
  <c r="D23" i="15" s="1"/>
  <c r="D37" i="15" s="1"/>
  <c r="D32" i="15"/>
  <c r="D14" i="15"/>
  <c r="D16" i="15" s="1"/>
  <c r="D17" i="15" s="1"/>
  <c r="D18" i="15" s="1"/>
  <c r="D19" i="15" s="1"/>
  <c r="D30" i="15" s="1"/>
  <c r="D10" i="13"/>
  <c r="D40" i="10" s="1"/>
  <c r="D20" i="13"/>
  <c r="E20" i="13"/>
  <c r="D16" i="10" s="1"/>
  <c r="F40" i="6"/>
  <c r="F41" i="6" s="1"/>
  <c r="E40" i="6"/>
  <c r="E39" i="6"/>
  <c r="E23" i="9"/>
  <c r="F31" i="9" s="1"/>
  <c r="E24" i="6"/>
  <c r="F24" i="6" s="1"/>
  <c r="E21" i="6"/>
  <c r="E31" i="6" s="1"/>
  <c r="E23" i="6"/>
  <c r="E32" i="6" s="1"/>
  <c r="E19" i="6"/>
  <c r="E29" i="6" s="1"/>
  <c r="E18" i="6"/>
  <c r="E28" i="6" s="1"/>
  <c r="G27" i="6"/>
  <c r="E27" i="6"/>
  <c r="D27" i="6"/>
  <c r="E14" i="6"/>
  <c r="E13" i="6"/>
  <c r="D61" i="12"/>
  <c r="D41" i="12"/>
  <c r="D36" i="5"/>
  <c r="D19" i="5"/>
  <c r="D28" i="5" s="1"/>
  <c r="D20" i="5"/>
  <c r="D21" i="5"/>
  <c r="D29" i="5" s="1"/>
  <c r="D18" i="5"/>
  <c r="D27" i="5" s="1"/>
  <c r="D17" i="5"/>
  <c r="D26" i="5" s="1"/>
  <c r="D12" i="5"/>
  <c r="D61" i="11"/>
  <c r="D41" i="11"/>
  <c r="F31" i="5" l="1"/>
  <c r="E12" i="5"/>
  <c r="F19" i="6"/>
  <c r="G32" i="6"/>
  <c r="G31" i="6"/>
  <c r="G39" i="6"/>
  <c r="C30" i="6"/>
  <c r="G30" i="6" s="1"/>
  <c r="F13" i="6"/>
  <c r="F18" i="6"/>
  <c r="F21" i="6"/>
  <c r="F23" i="6"/>
  <c r="E41" i="6"/>
  <c r="D30" i="5"/>
  <c r="D32" i="5" s="1"/>
  <c r="D37" i="5" s="1"/>
  <c r="D38" i="5" s="1"/>
  <c r="C32" i="5"/>
  <c r="C37" i="5" s="1"/>
  <c r="C38" i="5" s="1"/>
  <c r="E33" i="6"/>
  <c r="G33" i="6" s="1"/>
  <c r="D29" i="6"/>
  <c r="G29" i="6" s="1"/>
  <c r="D28" i="6"/>
  <c r="G28" i="6" s="1"/>
  <c r="D40" i="15"/>
  <c r="D22" i="10"/>
  <c r="D23" i="10" s="1"/>
  <c r="D17" i="10"/>
  <c r="D18" i="10" s="1"/>
  <c r="D31" i="10" s="1"/>
  <c r="D31" i="15"/>
  <c r="F38" i="5" l="1"/>
  <c r="D35" i="6"/>
  <c r="D40" i="6" s="1"/>
  <c r="C35" i="6"/>
  <c r="F37" i="5"/>
  <c r="E35" i="6"/>
  <c r="D19" i="10"/>
  <c r="D30" i="10" s="1"/>
  <c r="F36" i="5"/>
  <c r="F28" i="5"/>
  <c r="F26" i="5"/>
  <c r="F25" i="5"/>
  <c r="D25" i="5"/>
  <c r="C25" i="5"/>
  <c r="E21" i="5"/>
  <c r="E20" i="5"/>
  <c r="E19" i="5"/>
  <c r="E18" i="5"/>
  <c r="E17" i="5"/>
  <c r="E13" i="5"/>
  <c r="G5" i="5"/>
  <c r="F5" i="5"/>
  <c r="E5" i="5"/>
  <c r="D5" i="5"/>
  <c r="F4" i="5"/>
  <c r="D4" i="5"/>
  <c r="C4" i="5"/>
  <c r="B4" i="5"/>
  <c r="G5" i="6"/>
  <c r="F5" i="6"/>
  <c r="E5" i="6"/>
  <c r="D5" i="6"/>
  <c r="F4" i="6"/>
  <c r="D4" i="6"/>
  <c r="C4" i="6"/>
  <c r="B4" i="6"/>
  <c r="C8" i="5"/>
  <c r="C9" i="6"/>
  <c r="G19" i="2"/>
  <c r="G6" i="5" s="1"/>
  <c r="E23" i="2"/>
  <c r="D23" i="2" s="1"/>
  <c r="G23" i="2"/>
  <c r="G6" i="6" s="1"/>
  <c r="I6" i="6" s="1"/>
  <c r="G14" i="2"/>
  <c r="E19" i="2"/>
  <c r="D19" i="2" s="1"/>
  <c r="C21" i="2"/>
  <c r="C26" i="2"/>
  <c r="C17" i="2"/>
  <c r="D38" i="9"/>
  <c r="D37" i="9"/>
  <c r="D14" i="9"/>
  <c r="D47" i="9" s="1"/>
  <c r="E29" i="9"/>
  <c r="G29" i="9" s="1"/>
  <c r="E30" i="9"/>
  <c r="B28" i="9"/>
  <c r="B29" i="9"/>
  <c r="B30" i="9"/>
  <c r="B27" i="9"/>
  <c r="D42" i="9"/>
  <c r="F32" i="9" s="1"/>
  <c r="C26" i="9"/>
  <c r="D26" i="9"/>
  <c r="E26" i="9"/>
  <c r="G26" i="9"/>
  <c r="D20" i="9"/>
  <c r="D28" i="9" s="1"/>
  <c r="D33" i="9" s="1"/>
  <c r="D48" i="9" s="1"/>
  <c r="D22" i="9"/>
  <c r="C19" i="9"/>
  <c r="C27" i="9" s="1"/>
  <c r="C22" i="9"/>
  <c r="C30" i="9" s="1"/>
  <c r="F21" i="9"/>
  <c r="C14" i="9"/>
  <c r="C47" i="9" s="1"/>
  <c r="E14" i="9"/>
  <c r="E47" i="9" s="1"/>
  <c r="E13" i="9"/>
  <c r="D13" i="9"/>
  <c r="C13" i="9"/>
  <c r="C6" i="9"/>
  <c r="C7" i="9"/>
  <c r="C8" i="9"/>
  <c r="B8" i="9"/>
  <c r="B7" i="9"/>
  <c r="B6" i="9"/>
  <c r="D4" i="9"/>
  <c r="F4" i="9"/>
  <c r="C4" i="9"/>
  <c r="D5" i="9"/>
  <c r="E5" i="9"/>
  <c r="F5" i="9"/>
  <c r="G5" i="9"/>
  <c r="B4" i="9"/>
  <c r="D25" i="7"/>
  <c r="D27" i="7"/>
  <c r="D22" i="8"/>
  <c r="D20" i="8"/>
  <c r="E12" i="8"/>
  <c r="D21" i="8" s="1"/>
  <c r="D59" i="3"/>
  <c r="D57" i="3"/>
  <c r="E35" i="3"/>
  <c r="D54" i="3"/>
  <c r="D55" i="3"/>
  <c r="D62" i="3"/>
  <c r="D40" i="3"/>
  <c r="D42" i="3" s="1"/>
  <c r="D39" i="3"/>
  <c r="E6" i="6" l="1"/>
  <c r="H6" i="6" s="1"/>
  <c r="C42" i="6" s="1"/>
  <c r="F19" i="2"/>
  <c r="D6" i="6"/>
  <c r="E24" i="2"/>
  <c r="E20" i="2"/>
  <c r="D6" i="5"/>
  <c r="E6" i="5"/>
  <c r="E8" i="11" s="1"/>
  <c r="F23" i="2"/>
  <c r="D49" i="9"/>
  <c r="C33" i="9"/>
  <c r="C48" i="9" s="1"/>
  <c r="C49" i="9" s="1"/>
  <c r="G40" i="6"/>
  <c r="D41" i="6"/>
  <c r="G41" i="6" s="1"/>
  <c r="G35" i="6"/>
  <c r="D8" i="11"/>
  <c r="D8" i="12"/>
  <c r="E9" i="11"/>
  <c r="E9" i="12"/>
  <c r="I6" i="5"/>
  <c r="F14" i="6"/>
  <c r="F29" i="5"/>
  <c r="F27" i="5"/>
  <c r="F30" i="5"/>
  <c r="G30" i="9"/>
  <c r="D40" i="9"/>
  <c r="D43" i="9" s="1"/>
  <c r="E33" i="9"/>
  <c r="E48" i="9" s="1"/>
  <c r="E49" i="9" s="1"/>
  <c r="G47" i="9"/>
  <c r="F23" i="9"/>
  <c r="G32" i="9"/>
  <c r="G27" i="9"/>
  <c r="G28" i="9"/>
  <c r="F20" i="9"/>
  <c r="F22" i="9"/>
  <c r="F19" i="9"/>
  <c r="F14" i="9"/>
  <c r="F13" i="9"/>
  <c r="D44" i="3"/>
  <c r="D47" i="3" s="1"/>
  <c r="D45" i="3"/>
  <c r="D48" i="3"/>
  <c r="D61" i="3"/>
  <c r="F42" i="6" l="1"/>
  <c r="E42" i="6"/>
  <c r="G20" i="2"/>
  <c r="F6" i="5"/>
  <c r="F6" i="6"/>
  <c r="G24" i="2"/>
  <c r="H6" i="5"/>
  <c r="D20" i="2"/>
  <c r="D7" i="5" s="1"/>
  <c r="D8" i="15" s="1"/>
  <c r="E7" i="5"/>
  <c r="E8" i="12"/>
  <c r="D24" i="2"/>
  <c r="E7" i="6"/>
  <c r="D42" i="6"/>
  <c r="G42" i="6" s="1"/>
  <c r="C39" i="5"/>
  <c r="E39" i="5"/>
  <c r="D39" i="5"/>
  <c r="F39" i="5"/>
  <c r="F32" i="5"/>
  <c r="G31" i="9"/>
  <c r="G33" i="9" s="1"/>
  <c r="G48" i="9" s="1"/>
  <c r="G49" i="9" s="1"/>
  <c r="F33" i="9"/>
  <c r="F48" i="9" s="1"/>
  <c r="F49" i="9" s="1"/>
  <c r="D9" i="11" l="1"/>
  <c r="D9" i="12"/>
  <c r="G7" i="5"/>
  <c r="F20" i="2"/>
  <c r="F7" i="5" s="1"/>
  <c r="D9" i="15" s="1"/>
  <c r="H7" i="6"/>
  <c r="E8" i="10"/>
  <c r="E25" i="2"/>
  <c r="D7" i="6"/>
  <c r="D8" i="10" s="1"/>
  <c r="H7" i="5"/>
  <c r="E8" i="15"/>
  <c r="G7" i="6"/>
  <c r="F24" i="2"/>
  <c r="E14" i="2"/>
  <c r="D14" i="2" s="1"/>
  <c r="D8" i="2"/>
  <c r="E8" i="2" s="1"/>
  <c r="D7" i="2"/>
  <c r="I7" i="5" l="1"/>
  <c r="E9" i="15"/>
  <c r="G25" i="2"/>
  <c r="F7" i="6"/>
  <c r="D9" i="10" s="1"/>
  <c r="E9" i="10"/>
  <c r="I7" i="6"/>
  <c r="D25" i="2"/>
  <c r="D8" i="6" s="1"/>
  <c r="D8" i="16" s="1"/>
  <c r="E8" i="6"/>
  <c r="E7" i="2"/>
  <c r="D36" i="8" s="1"/>
  <c r="F14" i="2"/>
  <c r="E9" i="3"/>
  <c r="G8" i="9"/>
  <c r="I8" i="9" s="1"/>
  <c r="E8" i="3"/>
  <c r="E8" i="9"/>
  <c r="H8" i="9" s="1"/>
  <c r="F50" i="9" s="1"/>
  <c r="E8" i="16" l="1"/>
  <c r="H8" i="6"/>
  <c r="F25" i="2"/>
  <c r="F8" i="6" s="1"/>
  <c r="D9" i="16" s="1"/>
  <c r="G8" i="6"/>
  <c r="E50" i="9"/>
  <c r="C50" i="9"/>
  <c r="D50" i="9"/>
  <c r="G50" i="9"/>
  <c r="D35" i="8"/>
  <c r="D41" i="7"/>
  <c r="D40" i="7"/>
  <c r="E15" i="2"/>
  <c r="D8" i="9"/>
  <c r="D8" i="3"/>
  <c r="G15" i="2"/>
  <c r="D9" i="3"/>
  <c r="F8" i="9"/>
  <c r="E9" i="16" l="1"/>
  <c r="I8" i="6"/>
  <c r="F15" i="2"/>
  <c r="G7" i="9"/>
  <c r="I7" i="9" s="1"/>
  <c r="E9" i="7"/>
  <c r="E9" i="8"/>
  <c r="D15" i="2"/>
  <c r="E7" i="9"/>
  <c r="H7" i="9" s="1"/>
  <c r="E8" i="7"/>
  <c r="E8" i="8"/>
  <c r="E16" i="2" l="1"/>
  <c r="D7" i="9"/>
  <c r="D8" i="7"/>
  <c r="D8" i="8"/>
  <c r="G16" i="2"/>
  <c r="F7" i="9"/>
  <c r="D9" i="8"/>
  <c r="D9" i="7"/>
  <c r="F16" i="2" l="1"/>
  <c r="G6" i="9"/>
  <c r="I6" i="9" s="1"/>
  <c r="D16" i="2"/>
  <c r="E6" i="9"/>
  <c r="H6" i="9" s="1"/>
  <c r="D6" i="9" l="1"/>
  <c r="F6" i="9"/>
</calcChain>
</file>

<file path=xl/sharedStrings.xml><?xml version="1.0" encoding="utf-8"?>
<sst xmlns="http://schemas.openxmlformats.org/spreadsheetml/2006/main" count="1298" uniqueCount="568">
  <si>
    <t>Parameter</t>
  </si>
  <si>
    <t>Value</t>
  </si>
  <si>
    <t>$/year</t>
  </si>
  <si>
    <t>Treated Water Flow</t>
  </si>
  <si>
    <t>Use during modeling</t>
  </si>
  <si>
    <t>Average Flow</t>
  </si>
  <si>
    <t>Operation and Maintenance Costs</t>
  </si>
  <si>
    <t>Maximum Flow</t>
  </si>
  <si>
    <t>System Sizing, Capital Costs</t>
  </si>
  <si>
    <t>MGD</t>
  </si>
  <si>
    <t>Alternative Units</t>
  </si>
  <si>
    <t>m3/day</t>
  </si>
  <si>
    <t>Calcium</t>
  </si>
  <si>
    <t>Magnesium</t>
  </si>
  <si>
    <t>Sodium</t>
  </si>
  <si>
    <t>Alkalinity (Bicarbonate)</t>
  </si>
  <si>
    <t>Alkalinity (Carbonate)</t>
  </si>
  <si>
    <t>Alkalinity (Total) [mg/L as CaCO3]</t>
  </si>
  <si>
    <t>Chloride</t>
  </si>
  <si>
    <t>Sulfate</t>
  </si>
  <si>
    <t>Silicon</t>
  </si>
  <si>
    <t>Strontium</t>
  </si>
  <si>
    <t>pH</t>
  </si>
  <si>
    <t>Conductivity</t>
  </si>
  <si>
    <t>Turbidity</t>
  </si>
  <si>
    <t>DOC</t>
  </si>
  <si>
    <t>UVA-254</t>
  </si>
  <si>
    <t>Temperature</t>
  </si>
  <si>
    <t>15C</t>
  </si>
  <si>
    <t>November 2015 WQ, sourced from DWPR report 192</t>
  </si>
  <si>
    <t>Basecase</t>
  </si>
  <si>
    <t>Process</t>
  </si>
  <si>
    <t>EDR</t>
  </si>
  <si>
    <t>Media Filtration</t>
  </si>
  <si>
    <t>Case 2: MF-NF</t>
  </si>
  <si>
    <t>NF</t>
  </si>
  <si>
    <t>MF</t>
  </si>
  <si>
    <t>EC</t>
  </si>
  <si>
    <t>Influent</t>
  </si>
  <si>
    <t>--</t>
  </si>
  <si>
    <t>Recovery</t>
  </si>
  <si>
    <t>In</t>
  </si>
  <si>
    <t>Out</t>
  </si>
  <si>
    <t>Average Flow (MGD)</t>
  </si>
  <si>
    <t>Maximum Flow (MGD)</t>
  </si>
  <si>
    <t>Percent Recovery</t>
  </si>
  <si>
    <t>Area/membrane pair</t>
  </si>
  <si>
    <t>m2</t>
  </si>
  <si>
    <t>Diluate side resistance</t>
  </si>
  <si>
    <t>Concentrate side resistance</t>
  </si>
  <si>
    <t>Membrane resistance</t>
  </si>
  <si>
    <t>Current Desnsity</t>
  </si>
  <si>
    <t>Current Efficiency</t>
  </si>
  <si>
    <t>Pumping requirements</t>
  </si>
  <si>
    <t>Membrane cost</t>
  </si>
  <si>
    <t>Membrane life expectancy</t>
  </si>
  <si>
    <t>Concstruction Cost Factor</t>
  </si>
  <si>
    <t>Shifts per day</t>
  </si>
  <si>
    <t>Workers per shift</t>
  </si>
  <si>
    <t>%</t>
  </si>
  <si>
    <t>(ohms/cm)/cm2</t>
  </si>
  <si>
    <t xml:space="preserve"> (ohms/cm)/cm2</t>
  </si>
  <si>
    <t>(ohms/cm)/cm2:</t>
  </si>
  <si>
    <t>amps/m2</t>
  </si>
  <si>
    <t>kWhr/m3</t>
  </si>
  <si>
    <t>$/m2</t>
  </si>
  <si>
    <t>years</t>
  </si>
  <si>
    <t>#/day</t>
  </si>
  <si>
    <t>#/shift</t>
  </si>
  <si>
    <t>Notes</t>
  </si>
  <si>
    <t>All labor included for EDR</t>
  </si>
  <si>
    <t>total single membrane area: 18.25” x 40.25” 
Active membrane area is 0.85m2
(https://www.watertechnologies.com/products/ionics-ion-exchange-membranes)</t>
  </si>
  <si>
    <t>Based on WQ</t>
  </si>
  <si>
    <t>Amp draw per unit is 12-13 A</t>
  </si>
  <si>
    <t>Units</t>
  </si>
  <si>
    <t>percent recovery</t>
  </si>
  <si>
    <t>Number of sets of EDR modules</t>
  </si>
  <si>
    <t>#</t>
  </si>
  <si>
    <t>number of stages (in series)</t>
  </si>
  <si>
    <t># EDR lines per set</t>
  </si>
  <si>
    <t>Voltage to each unit</t>
  </si>
  <si>
    <t>V</t>
  </si>
  <si>
    <t>320-360</t>
  </si>
  <si>
    <t>Amperage draw per unit</t>
  </si>
  <si>
    <t>A</t>
  </si>
  <si>
    <t># anionic membranes per cell</t>
  </si>
  <si>
    <t># cationic membranes per cell</t>
  </si>
  <si>
    <t># feed spacers per cell</t>
  </si>
  <si>
    <t># heavy cation membranes per cell</t>
  </si>
  <si>
    <t># heavy anion membranes per cell</t>
  </si>
  <si>
    <t># electrode spacers per cell</t>
  </si>
  <si>
    <t># (-) electrode per cell</t>
  </si>
  <si>
    <t># (+) electrode per cell</t>
  </si>
  <si>
    <t>Cost per membrane (anionic or cationic)</t>
  </si>
  <si>
    <t>$/membrane</t>
  </si>
  <si>
    <t>cost per feed spacer</t>
  </si>
  <si>
    <t>$/spacer</t>
  </si>
  <si>
    <t>cost per heavy cation membrane</t>
  </si>
  <si>
    <t>cost per electrode feed spacer</t>
  </si>
  <si>
    <t>Cost per electrode (+ or -)</t>
  </si>
  <si>
    <t>$/electrode</t>
  </si>
  <si>
    <t>Polarity reversal frequency</t>
  </si>
  <si>
    <t>min</t>
  </si>
  <si>
    <t>Membrane life (approx)</t>
  </si>
  <si>
    <t>Membrane life for modeling</t>
  </si>
  <si>
    <t>Membrane Area</t>
  </si>
  <si>
    <t>Assume 2 trains for avg flow, 3 trains for max flow</t>
  </si>
  <si>
    <t>Membrane pairs per stack</t>
  </si>
  <si>
    <t>Membrane area per membrane pair</t>
  </si>
  <si>
    <t>Number Stacks per train</t>
  </si>
  <si>
    <t>membrane area per stack</t>
  </si>
  <si>
    <t>membrane area per train</t>
  </si>
  <si>
    <t>$/area</t>
  </si>
  <si>
    <t>Number trains average flow</t>
  </si>
  <si>
    <t>Membranes pairs per train</t>
  </si>
  <si>
    <t>Membrane surface area, Average Flow</t>
  </si>
  <si>
    <t>Membrane pairs, Average Flow</t>
  </si>
  <si>
    <t>FRMCD WTP does not recirculate within EDR, other pumping costs excluded</t>
  </si>
  <si>
    <t>Suggested value in DWPR report 93</t>
  </si>
  <si>
    <t>12-13</t>
  </si>
  <si>
    <t>Membrane voltage potential</t>
  </si>
  <si>
    <t>340 V, 600 membrane pairs per cell</t>
  </si>
  <si>
    <t>V/Membrane pair</t>
  </si>
  <si>
    <t>600 membrane pairs per stack, 24 stacks per train, 2 trains at average flow</t>
  </si>
  <si>
    <t>Average</t>
  </si>
  <si>
    <t>Peak</t>
  </si>
  <si>
    <t>Effluent</t>
  </si>
  <si>
    <t>Process Flows (MGD)</t>
  </si>
  <si>
    <t>Target Concentration</t>
  </si>
  <si>
    <t>ppm</t>
  </si>
  <si>
    <t>40-100, Dose changes with water temperature and turbidity</t>
  </si>
  <si>
    <t>Stock solution (Tote) strength</t>
  </si>
  <si>
    <t>Tote Volume (or weight)</t>
  </si>
  <si>
    <t>lbs/gallon</t>
  </si>
  <si>
    <t>Purchased in truck load  4000 gallons</t>
  </si>
  <si>
    <t>Cost per Tote</t>
  </si>
  <si>
    <t>$/lb</t>
  </si>
  <si>
    <t>Inputs to WaTER</t>
  </si>
  <si>
    <t>Form</t>
  </si>
  <si>
    <t>Liquid</t>
  </si>
  <si>
    <t>Cost per 100 lbs</t>
  </si>
  <si>
    <t>$/lb (stock)</t>
  </si>
  <si>
    <t>mg/L</t>
  </si>
  <si>
    <t>Multiplier between liquid and solid</t>
  </si>
  <si>
    <t>Accounts for 50% tote strength</t>
  </si>
  <si>
    <t>Alternative dose</t>
  </si>
  <si>
    <t>Actual, not calculated from alkalinity</t>
  </si>
  <si>
    <t>Capital Cost:</t>
  </si>
  <si>
    <t>1978 Costs</t>
  </si>
  <si>
    <t>Use peak day flow/dose rate</t>
  </si>
  <si>
    <t>Manufactured &amp; Electrical Equipment</t>
  </si>
  <si>
    <t>Today's Costs</t>
  </si>
  <si>
    <t>Housing</t>
  </si>
  <si>
    <t>Excavation, Site Work &amp; Labor</t>
  </si>
  <si>
    <t>Piping and Valves</t>
  </si>
  <si>
    <t>Steel</t>
  </si>
  <si>
    <t>Concrete</t>
  </si>
  <si>
    <t>January, 2023 Capital Cost $:</t>
  </si>
  <si>
    <t>O&amp;M Cost:</t>
  </si>
  <si>
    <t>Materials</t>
  </si>
  <si>
    <t>Energy</t>
  </si>
  <si>
    <t>Labor</t>
  </si>
  <si>
    <t>Alum Cost:</t>
  </si>
  <si>
    <t>January, 2023  Operation &amp; Maintenance $:</t>
  </si>
  <si>
    <t>Normalized Cost</t>
  </si>
  <si>
    <t>Cost/treated volume</t>
  </si>
  <si>
    <t>January, 2023 O&amp;M $/m3 plant effluent (with labor)</t>
  </si>
  <si>
    <t>January, 2023 O&amp;M $/m3 plant effluent (with out labor)</t>
  </si>
  <si>
    <t>ft2</t>
  </si>
  <si>
    <t>ft</t>
  </si>
  <si>
    <t>type of media</t>
  </si>
  <si>
    <t>Area per filter</t>
  </si>
  <si>
    <t>number of filters</t>
  </si>
  <si>
    <t>full media replacement frequency</t>
  </si>
  <si>
    <t xml:space="preserve"> once since 1974, assume 50 yrs</t>
  </si>
  <si>
    <t>Partial media replacement frequency</t>
  </si>
  <si>
    <t>yearly</t>
  </si>
  <si>
    <t>Partial media replacement approximate volume (or depth)</t>
  </si>
  <si>
    <t>3' to 4'  yearly</t>
  </si>
  <si>
    <t>Backwash frequency per filter cell</t>
  </si>
  <si>
    <t>backwash per week</t>
  </si>
  <si>
    <t>backwash duration</t>
  </si>
  <si>
    <t>Total cell downtime</t>
  </si>
  <si>
    <t>Wash Cycle</t>
  </si>
  <si>
    <t>Media Depth</t>
  </si>
  <si>
    <t>Alternative Bed Area:</t>
  </si>
  <si>
    <t>Backwash duration</t>
  </si>
  <si>
    <t>Average of yearly replacement</t>
  </si>
  <si>
    <t>hours</t>
  </si>
  <si>
    <t>Sand, Anthracite</t>
  </si>
  <si>
    <t>FRMCD Data - Media Filtration</t>
  </si>
  <si>
    <t>1978 Capital Cost:</t>
  </si>
  <si>
    <t>1978 O&amp;M Cost:</t>
  </si>
  <si>
    <t>Filter media replacement</t>
  </si>
  <si>
    <t>January, 2023 O&amp;M $/m3 plant effluent</t>
  </si>
  <si>
    <t>Capital Cost</t>
  </si>
  <si>
    <t>Cost</t>
  </si>
  <si>
    <t>Alum Coagulation</t>
  </si>
  <si>
    <t>Amortized Capital Cost</t>
  </si>
  <si>
    <t>Total</t>
  </si>
  <si>
    <t>Based on Membrane Cost @ $187/m2</t>
  </si>
  <si>
    <t>First Stage O&amp;M Costs/ year</t>
  </si>
  <si>
    <t>Chemicals</t>
  </si>
  <si>
    <t>Maintenance</t>
  </si>
  <si>
    <t>Membrane Replacement:</t>
  </si>
  <si>
    <t>Labor Cost:</t>
  </si>
  <si>
    <t>ED Electicity Cost/year @ $0.0639/kWhr:</t>
  </si>
  <si>
    <t>Capital Recovery</t>
  </si>
  <si>
    <t>January, 2023  O&amp;M $:</t>
  </si>
  <si>
    <t>January, 2023  O&amp;M $/m3 treated:</t>
  </si>
  <si>
    <t>First Stage O&amp;M Costs/ year (w/out labor)</t>
  </si>
  <si>
    <t>ED Electicity Cost/year @ $/kWhr:</t>
  </si>
  <si>
    <t>Interest Rate</t>
  </si>
  <si>
    <t>Amortization Time</t>
  </si>
  <si>
    <t>Capital Recovery (Annual)</t>
  </si>
  <si>
    <t>Membrane Replacement</t>
  </si>
  <si>
    <t>Energy Cost</t>
  </si>
  <si>
    <t>Maintenance/Materials</t>
  </si>
  <si>
    <t>Chemicals (Alum)</t>
  </si>
  <si>
    <t>Media Replacement</t>
  </si>
  <si>
    <t>Operation and Mainteance Costs</t>
  </si>
  <si>
    <t>O&amp;M Category</t>
  </si>
  <si>
    <t>Foss Information</t>
  </si>
  <si>
    <t>Annual Energy Cost</t>
  </si>
  <si>
    <t>Monthly Energy Cost</t>
  </si>
  <si>
    <t>Percent Diference</t>
  </si>
  <si>
    <t>WaTER Outputs (Annual)</t>
  </si>
  <si>
    <t>Annual Costs</t>
  </si>
  <si>
    <t>General WTP</t>
  </si>
  <si>
    <t>Category</t>
  </si>
  <si>
    <t>Total O&amp;M Costs</t>
  </si>
  <si>
    <t>Normalized Annual costs ($/m3)</t>
  </si>
  <si>
    <t>Total Annual Costs</t>
  </si>
  <si>
    <r>
      <t>Cost outputs for the baseline option are summarized in Table 27. Energy use was calculated within the WaTER model for each unit process, and agreed within 2% with the actual energy use provided by FRMCD ($15,000 per month). The baseline option was calculated to have a capital cost of $14.2M, an annual operation cost of $5.3M, and a normalized cost of $2.55/m</t>
    </r>
    <r>
      <rPr>
        <vertAlign val="superscript"/>
        <sz val="12"/>
        <color theme="1"/>
        <rFont val="Garamond"/>
        <family val="1"/>
      </rPr>
      <t>3</t>
    </r>
    <r>
      <rPr>
        <sz val="12"/>
        <color theme="1"/>
        <rFont val="Garamond"/>
        <family val="1"/>
      </rPr>
      <t xml:space="preserve"> of water treated. </t>
    </r>
  </si>
  <si>
    <t>Case</t>
  </si>
  <si>
    <t>Overall</t>
  </si>
  <si>
    <t>Case 2 MF-NF  --&gt; WaTER RO/NF module</t>
  </si>
  <si>
    <t>Membrane Manufacturer Specifications</t>
  </si>
  <si>
    <t>Membrane Manufacturer</t>
  </si>
  <si>
    <t>DOW FilmTec</t>
  </si>
  <si>
    <t>Model #</t>
  </si>
  <si>
    <t>NF270-400</t>
  </si>
  <si>
    <t>Membrane Diameter</t>
  </si>
  <si>
    <t>(10.16 or 20.32 cm)</t>
  </si>
  <si>
    <t>Productivity</t>
  </si>
  <si>
    <r>
      <t>m</t>
    </r>
    <r>
      <rPr>
        <vertAlign val="superscript"/>
        <sz val="10"/>
        <rFont val="Arial"/>
        <family val="2"/>
      </rPr>
      <t>3</t>
    </r>
    <r>
      <rPr>
        <sz val="10"/>
        <rFont val="Arial"/>
        <family val="2"/>
      </rPr>
      <t>/day</t>
    </r>
  </si>
  <si>
    <t>Area per module</t>
  </si>
  <si>
    <r>
      <t>m</t>
    </r>
    <r>
      <rPr>
        <vertAlign val="superscript"/>
        <sz val="10"/>
        <rFont val="Arial"/>
        <family val="2"/>
      </rPr>
      <t>2</t>
    </r>
  </si>
  <si>
    <r>
      <t>Operating pressure, P</t>
    </r>
    <r>
      <rPr>
        <vertAlign val="subscript"/>
        <sz val="10"/>
        <rFont val="Arial"/>
        <family val="2"/>
      </rPr>
      <t>app</t>
    </r>
  </si>
  <si>
    <t>kPa</t>
  </si>
  <si>
    <t>Test solution TDS</t>
  </si>
  <si>
    <t xml:space="preserve">Avg. MW of TDS, </t>
  </si>
  <si>
    <t>mg/mmole NaCl</t>
  </si>
  <si>
    <t xml:space="preserve">  Chloride Rejection</t>
  </si>
  <si>
    <t xml:space="preserve">  Sulfate Rejection</t>
  </si>
  <si>
    <t>Recovery Rate</t>
  </si>
  <si>
    <t xml:space="preserve">Temperature </t>
  </si>
  <si>
    <r>
      <t>o</t>
    </r>
    <r>
      <rPr>
        <sz val="10"/>
        <rFont val="Arial"/>
        <family val="2"/>
      </rPr>
      <t>C</t>
    </r>
  </si>
  <si>
    <r>
      <t>Net driving pressure , NDP</t>
    </r>
    <r>
      <rPr>
        <vertAlign val="subscript"/>
        <sz val="10"/>
        <rFont val="Arial"/>
        <family val="2"/>
      </rPr>
      <t>i</t>
    </r>
  </si>
  <si>
    <t>Target 70 psi</t>
  </si>
  <si>
    <t>Number of elements per vessel</t>
  </si>
  <si>
    <t>elements / vessel</t>
  </si>
  <si>
    <t>Number of Skids (manual input)</t>
  </si>
  <si>
    <t>skids</t>
  </si>
  <si>
    <t>Administrative Area</t>
  </si>
  <si>
    <t>Odor Control?</t>
  </si>
  <si>
    <t>N</t>
  </si>
  <si>
    <t>Yes (Y) or No (N)</t>
  </si>
  <si>
    <t>Emergency Generatore Size</t>
  </si>
  <si>
    <t>MW</t>
  </si>
  <si>
    <t>High Pressure Feed Pump</t>
  </si>
  <si>
    <t>Y</t>
  </si>
  <si>
    <t xml:space="preserve">   Pump Style</t>
  </si>
  <si>
    <t>CSS</t>
  </si>
  <si>
    <t>*PD, VST or CSS</t>
  </si>
  <si>
    <t xml:space="preserve">   Height DIfference</t>
  </si>
  <si>
    <t>m</t>
  </si>
  <si>
    <t xml:space="preserve">   Motor Efficiency</t>
  </si>
  <si>
    <t xml:space="preserve">   Pump Efficiency</t>
  </si>
  <si>
    <t xml:space="preserve">   Coupling Efficiency</t>
  </si>
  <si>
    <t xml:space="preserve">   Number of Pumps</t>
  </si>
  <si>
    <t>Energy Recovery for Seawater</t>
  </si>
  <si>
    <t>Transfer Pumps (to HPP)</t>
  </si>
  <si>
    <t>Product Water Pump</t>
  </si>
  <si>
    <t>Factor</t>
  </si>
  <si>
    <t xml:space="preserve">Decimal </t>
  </si>
  <si>
    <t>Input on {e} Report</t>
  </si>
  <si>
    <t>Typical values in WaTER</t>
  </si>
  <si>
    <t>Cleaning Rate</t>
  </si>
  <si>
    <t>per Year</t>
  </si>
  <si>
    <t>Staff Days/day</t>
  </si>
  <si>
    <t>Flux Target</t>
  </si>
  <si>
    <t>LMH</t>
  </si>
  <si>
    <t>Adjust Factor (cell J7) after rest of module set up</t>
  </si>
  <si>
    <t>Neglect Building</t>
  </si>
  <si>
    <t>Neglect Odor Control</t>
  </si>
  <si>
    <t>Neglect Generator</t>
  </si>
  <si>
    <t>Neglect - Brackish Water not Seawater</t>
  </si>
  <si>
    <t>Neglect transfer pumps</t>
  </si>
  <si>
    <t>Neglect product water pump</t>
  </si>
  <si>
    <t>Adjusted after for full WTP</t>
  </si>
  <si>
    <t>Input Value</t>
  </si>
  <si>
    <t>RO&amp;NF Input Module Inputs</t>
  </si>
  <si>
    <t>RO&amp;NF Output Module Inputs</t>
  </si>
  <si>
    <t>Membranes</t>
  </si>
  <si>
    <t>RO Skids</t>
  </si>
  <si>
    <t>Electrical</t>
  </si>
  <si>
    <t>Insturmentation &amp; Controls</t>
  </si>
  <si>
    <t>$/module</t>
  </si>
  <si>
    <t>$/Vessel</t>
  </si>
  <si>
    <r>
      <t>$/m</t>
    </r>
    <r>
      <rPr>
        <vertAlign val="superscript"/>
        <sz val="10"/>
        <rFont val="Arial"/>
        <family val="2"/>
      </rPr>
      <t>3</t>
    </r>
  </si>
  <si>
    <t>Process Piping</t>
  </si>
  <si>
    <t>Yard Piping</t>
  </si>
  <si>
    <t>Cartridge Filters</t>
  </si>
  <si>
    <t>Membrane Cleaning Equip</t>
  </si>
  <si>
    <t>Contractor Engineering &amp; Training</t>
  </si>
  <si>
    <t>Concentrate Treatment &amp; Piping</t>
  </si>
  <si>
    <t>Actual cost (2023-2024 data)</t>
  </si>
  <si>
    <t>Base cost, suggested value in WaTER Module, adjusted with ENR indices</t>
  </si>
  <si>
    <t>Sitework</t>
  </si>
  <si>
    <t>Neglected because not included in other estimates</t>
  </si>
  <si>
    <t>Estimating O&amp;M Costs</t>
  </si>
  <si>
    <t>Electricity</t>
  </si>
  <si>
    <t>Cleaning Chemicals</t>
  </si>
  <si>
    <t>Repairs and Replacement</t>
  </si>
  <si>
    <t>Insurance</t>
  </si>
  <si>
    <t>Lab fees</t>
  </si>
  <si>
    <t>Total O&amp;M Cost</t>
  </si>
  <si>
    <t>Neglected across analysis (EDR and NF)</t>
  </si>
  <si>
    <t>Total Direct Capital Costs</t>
  </si>
  <si>
    <t>Indirect Capital Costs</t>
  </si>
  <si>
    <t>Interest During Construction</t>
  </si>
  <si>
    <t>Contingencies</t>
  </si>
  <si>
    <t>A&amp;E Fees, Proj. Management</t>
  </si>
  <si>
    <t>Working Capital</t>
  </si>
  <si>
    <t>Total Indirect Captial Cost</t>
  </si>
  <si>
    <t>Total Construction Cost</t>
  </si>
  <si>
    <t>Cost per m3/day capacity</t>
  </si>
  <si>
    <t>Cost per gpd capacity</t>
  </si>
  <si>
    <t>Total Costs</t>
  </si>
  <si>
    <t>O&amp;M</t>
  </si>
  <si>
    <t>Annual cost</t>
  </si>
  <si>
    <t>$/m3 Product</t>
  </si>
  <si>
    <t>$/1000 gal Product</t>
  </si>
  <si>
    <t>$/acre foot Product</t>
  </si>
  <si>
    <t>Assume 4 staff days per day, one less than baseline and EC-MF-NF (one less unit process)</t>
  </si>
  <si>
    <t>Assume 5 staff days per day, same as baseline</t>
  </si>
  <si>
    <t>Membrane</t>
  </si>
  <si>
    <t>Dupont SFD-2880</t>
  </si>
  <si>
    <t>Total UF Trains</t>
  </si>
  <si>
    <t>UF modules per train</t>
  </si>
  <si>
    <t>Total UF modules</t>
  </si>
  <si>
    <t>Backwash duration (minutes)</t>
  </si>
  <si>
    <t>Backwash flux</t>
  </si>
  <si>
    <t>Backwash flux (LMH)</t>
  </si>
  <si>
    <t>Recovery (calculated by WAVE)</t>
  </si>
  <si>
    <t>Filtration Interval (minutes)</t>
  </si>
  <si>
    <t>MF Product flow rate (MGD)</t>
  </si>
  <si>
    <t>Filtration flux (calculated by WAVE) (LMH)</t>
  </si>
  <si>
    <t>WAVE MF Inputs and Outputs</t>
  </si>
  <si>
    <t>WAVE NF Inputs and Outputs</t>
  </si>
  <si>
    <t>Case 2 - Without EC</t>
  </si>
  <si>
    <t>Case 3 - With EC</t>
  </si>
  <si>
    <t>Membrane Module equipment cost</t>
  </si>
  <si>
    <t>Cost per membrane</t>
  </si>
  <si>
    <t>modular system flow rate</t>
  </si>
  <si>
    <t>Flow per module</t>
  </si>
  <si>
    <t>No. membranes per module</t>
  </si>
  <si>
    <t>Pump efficiency</t>
  </si>
  <si>
    <t>Motor efficiency</t>
  </si>
  <si>
    <t>Design feed pressure</t>
  </si>
  <si>
    <t>Backflush pressure</t>
  </si>
  <si>
    <t>Backwash Flow</t>
  </si>
  <si>
    <t>Backwash intervals</t>
  </si>
  <si>
    <t>Backwash and backflush duration</t>
  </si>
  <si>
    <t>Sodium Hypochlorite Cost</t>
  </si>
  <si>
    <t>Design dosage</t>
  </si>
  <si>
    <t>Specific gravity (NaOCl)</t>
  </si>
  <si>
    <t>Solution concentration</t>
  </si>
  <si>
    <t>Membrane Life</t>
  </si>
  <si>
    <t>Building</t>
  </si>
  <si>
    <t>Installation</t>
  </si>
  <si>
    <t>Miscellaneous</t>
  </si>
  <si>
    <t>Plant interconnecting piping</t>
  </si>
  <si>
    <t>Engineering</t>
  </si>
  <si>
    <r>
      <t>$/ft</t>
    </r>
    <r>
      <rPr>
        <vertAlign val="superscript"/>
        <sz val="10"/>
        <rFont val="Arial"/>
        <family val="2"/>
      </rPr>
      <t>2</t>
    </r>
  </si>
  <si>
    <t>$/90M10C</t>
  </si>
  <si>
    <t>% of Module Cost</t>
  </si>
  <si>
    <t>% of Module and misc.</t>
  </si>
  <si>
    <t>% of Total direct</t>
  </si>
  <si>
    <t>gpm</t>
  </si>
  <si>
    <t>psi</t>
  </si>
  <si>
    <t>minutes</t>
  </si>
  <si>
    <t>$/L</t>
  </si>
  <si>
    <t>Years</t>
  </si>
  <si>
    <t>WaTER recommended cost</t>
  </si>
  <si>
    <t>Flow Rate</t>
  </si>
  <si>
    <t>SFD-2880 watersurplus.com</t>
  </si>
  <si>
    <t>gpd</t>
  </si>
  <si>
    <t>WAVE</t>
  </si>
  <si>
    <t>Number modules (trains)</t>
  </si>
  <si>
    <t>Membranes per module</t>
  </si>
  <si>
    <t>Calculated from WAVE output</t>
  </si>
  <si>
    <t>WAVE output</t>
  </si>
  <si>
    <t>WaTER recommended value</t>
  </si>
  <si>
    <t>Water recommended value</t>
  </si>
  <si>
    <t>Calculated from Texas A&amp;M design, WAVE output</t>
  </si>
  <si>
    <t>Texas A&amp;M design</t>
  </si>
  <si>
    <t>WAVE output, targeting Texas A&amp;M design</t>
  </si>
  <si>
    <t>Typical value</t>
  </si>
  <si>
    <t>Labor applied to full treatment process, not unit processes</t>
  </si>
  <si>
    <t>WaTER recommnded value, indexed for year</t>
  </si>
  <si>
    <t>WaTER recommnded value</t>
  </si>
  <si>
    <t>WAVE $/day</t>
  </si>
  <si>
    <t>WAVE L/day</t>
  </si>
  <si>
    <t>$/L (WaTER input)</t>
  </si>
  <si>
    <t>WAVE-suggested cost</t>
  </si>
  <si>
    <t>Texas A&amp;M experiments, as NaOCl</t>
  </si>
  <si>
    <t>Calculated</t>
  </si>
  <si>
    <t>Unit</t>
  </si>
  <si>
    <t>WaTER Inputs</t>
  </si>
  <si>
    <t>Cost  per gpd capacity</t>
  </si>
  <si>
    <t>Chemicals (Sodium Hypochlorite)</t>
  </si>
  <si>
    <t>Cleaning Chemicals(NaOCl)</t>
  </si>
  <si>
    <t>Repairs and Replacement and Misc.</t>
  </si>
  <si>
    <t>Total O &amp; M Cost</t>
  </si>
  <si>
    <t>Total costs</t>
  </si>
  <si>
    <t xml:space="preserve">O&amp;M </t>
  </si>
  <si>
    <t>WAVE, specific to SFD-2880</t>
  </si>
  <si>
    <t>Membrane area (per membrane)</t>
  </si>
  <si>
    <t>Membrane area (per module)</t>
  </si>
  <si>
    <t>Membrane area per module (m2)</t>
  </si>
  <si>
    <t>Total number membranes</t>
  </si>
  <si>
    <t>Flow per membrane</t>
  </si>
  <si>
    <t xml:space="preserve">Flow per membrane </t>
  </si>
  <si>
    <t>backwash flow rate per module</t>
  </si>
  <si>
    <t>WAVE (gross filtrate)</t>
  </si>
  <si>
    <t>Initial Flux from Sari and Chellam, 2017 [LMH]</t>
  </si>
  <si>
    <t>Flux decline reported by Sari and Chellam, 2017</t>
  </si>
  <si>
    <t>Average flux (target for WAVE modeling) [LMH]</t>
  </si>
  <si>
    <t>Case 3 EC-MF-NF  --&gt; WaTER EC module</t>
  </si>
  <si>
    <t>Current Density</t>
  </si>
  <si>
    <t>Voltage (cell potential)</t>
  </si>
  <si>
    <t>Blade Area</t>
  </si>
  <si>
    <t>Treatment Time</t>
  </si>
  <si>
    <t>Treatment volume</t>
  </si>
  <si>
    <t>Anode Material</t>
  </si>
  <si>
    <t>Aluminum</t>
  </si>
  <si>
    <t>Faradic Efficiency (%)</t>
  </si>
  <si>
    <t>Electrode Use Percentage</t>
  </si>
  <si>
    <t>Power Efficiency</t>
  </si>
  <si>
    <t>Electrode material cost</t>
  </si>
  <si>
    <t>Electrode blade purity</t>
  </si>
  <si>
    <t>Operator full time equivalents</t>
  </si>
  <si>
    <t>Sum Specific Operating Costs</t>
  </si>
  <si>
    <t>$/m3</t>
  </si>
  <si>
    <t>$/1000 gallon</t>
  </si>
  <si>
    <t>Sum Annual Operating Costs</t>
  </si>
  <si>
    <t>Plant Cost (Reference Year)</t>
  </si>
  <si>
    <t>Construction Cost Index (Reference Year)</t>
  </si>
  <si>
    <t>Construction Cost Index (Analysis Year)</t>
  </si>
  <si>
    <t>Adjusted Capital Cost</t>
  </si>
  <si>
    <t>Total Capital Costs</t>
  </si>
  <si>
    <t>Amortization time</t>
  </si>
  <si>
    <t>Plant Life = 30 years</t>
  </si>
  <si>
    <t>WAVE Energy and Costs</t>
  </si>
  <si>
    <t>MF Specific Energy (kWh/m3)</t>
  </si>
  <si>
    <t>NF Specific Energy (kWh/m3)</t>
  </si>
  <si>
    <t>DOW Filmtec NF 270</t>
  </si>
  <si>
    <t>Total Number Elements</t>
  </si>
  <si>
    <t>Stage 1 number pressure vessels</t>
  </si>
  <si>
    <t>Stage 2 number pressure vessels</t>
  </si>
  <si>
    <t>Average Flux</t>
  </si>
  <si>
    <t>Elements per pressure vessel</t>
  </si>
  <si>
    <t>MF Operating Costs - Energy Only ($/m3)</t>
  </si>
  <si>
    <t>NF Operating Costs - Energy Only ($/m3)</t>
  </si>
  <si>
    <t>Electrode Replacement</t>
  </si>
  <si>
    <t>Operation Costs</t>
  </si>
  <si>
    <t>Unit Electricity Cost</t>
  </si>
  <si>
    <t>$/kWh</t>
  </si>
  <si>
    <t>Typical value, converting from AC to DC</t>
  </si>
  <si>
    <t>Specific Energy Cost</t>
  </si>
  <si>
    <t>$/kg</t>
  </si>
  <si>
    <t>Aluminum is $1.8/kg from Alavijeh et al., 2022</t>
  </si>
  <si>
    <t>Specific Electrode Cost</t>
  </si>
  <si>
    <t>Annual Electrode Cost</t>
  </si>
  <si>
    <t>Hourly Operator Cost</t>
  </si>
  <si>
    <t>$/hr</t>
  </si>
  <si>
    <t>Labor included in General WTP</t>
  </si>
  <si>
    <t>Specific Labor Cost</t>
  </si>
  <si>
    <t>Annual Labor Cost</t>
  </si>
  <si>
    <t>Case 3: EC - MF-NF</t>
  </si>
  <si>
    <t>Source</t>
  </si>
  <si>
    <t>WAVE Supplementary MF Calculations</t>
  </si>
  <si>
    <t>Sodium Hypochlorite Cost adjustment to WaTER input units</t>
  </si>
  <si>
    <t>WAVE Supplementary NF Calculations</t>
  </si>
  <si>
    <t>Tab Description:</t>
  </si>
  <si>
    <t xml:space="preserve">Input, output and supplementary information for DuPONT WAVE modeling. WAVE is a DuPont membrane estimate software and was used to configure MF and NF full-scale systems for subsequent analysis by WaTER. WAVE Input/output files included as appendix is final report. </t>
  </si>
  <si>
    <t>Process Flows</t>
  </si>
  <si>
    <t>See Screenshot</t>
  </si>
  <si>
    <t>RO&amp;NF Module Outputs</t>
  </si>
  <si>
    <t>O&amp;M Costs</t>
  </si>
  <si>
    <t>Capital Costs</t>
  </si>
  <si>
    <t>Supplementary Calculations</t>
  </si>
  <si>
    <t>WaTER RO&amp;NF Module Input</t>
  </si>
  <si>
    <t>Input to WaTER {b} Capacity</t>
  </si>
  <si>
    <t>Input to WaTER {f} RO&amp;NF Input and {g} RO&amp;NF Output tabs</t>
  </si>
  <si>
    <t>Output from WaTER {f} RO&amp;NF Input and {g} RO&amp;NF Output tabs</t>
  </si>
  <si>
    <t>Input to WaTER {z} MF-P Input and {aa} MF-P Output tabs</t>
  </si>
  <si>
    <t>WaTER MF-P Module Input</t>
  </si>
  <si>
    <t>WaTER MF-P Module Output</t>
  </si>
  <si>
    <t>Output from WaTER {z} MF-P Input and {aa} MF-P Output tabs</t>
  </si>
  <si>
    <t>Case 3 EC-MF-NF  --&gt; WaTER RO/NF module</t>
  </si>
  <si>
    <t>Input to WaTER {nn} Electrocoagulation tabs</t>
  </si>
  <si>
    <t>WaTER EC Module Input and Output</t>
  </si>
  <si>
    <t>Input, output and supplementary information for Case 3 EC unit process evaluated using WaTER module Electrocoagulation tab. Yellow cells are user-defined inputs</t>
  </si>
  <si>
    <t>Input, output and supplementary information for Case 3 MF unit process evaluated using WaTER module MF-P tabs. Yellow cells are user-defined inputs</t>
  </si>
  <si>
    <t>Input, output and supplementary information for Case 2 NF unit process evaluated using WaTER module RO&amp;NF tabs. Yellow cells are user-defined inputs</t>
  </si>
  <si>
    <t>Input, output and supplementary information for Case 3 NF unit process evaluated using WaTER module RO&amp;NF tabs.</t>
  </si>
  <si>
    <t>Captial Costs</t>
  </si>
  <si>
    <t>Input, output and supplementary information for Case 2 MF unit process evaluated using WaTER module MF-P tabs. Yellow cells are user-defined inputs</t>
  </si>
  <si>
    <t>Input, output and supplementary information for Case 1 EDR unit process evaluated using WaTER module ED2. Yellow cells are user-defined inputs</t>
  </si>
  <si>
    <t>Case 1 Baseline  --&gt; WaTER ED2 module</t>
  </si>
  <si>
    <t>Case 2 MF-NF  --&gt; WaTER MF-P module</t>
  </si>
  <si>
    <t>Supplementary Calculations and Information</t>
  </si>
  <si>
    <t>Membrane replacement cost (accounting for all)</t>
  </si>
  <si>
    <t>Input to WaTER {ee} ED2 tabs</t>
  </si>
  <si>
    <t>WaTER ED2 Module Input</t>
  </si>
  <si>
    <t>Output from WaTER {ee} ED2 tabs</t>
  </si>
  <si>
    <t>Input to WaTER {w} GravityFilt</t>
  </si>
  <si>
    <t>Case 1 Baseline  --&gt; WaTER GravityFilt module</t>
  </si>
  <si>
    <t xml:space="preserve">Input, output and supplementary information for Case 1 gravity media filtration unit process evaluated using WaTER module GravityFilt. </t>
  </si>
  <si>
    <t>WaTER GravityFilt Module Input</t>
  </si>
  <si>
    <t>WaTER GravityFilt Module Output</t>
  </si>
  <si>
    <t>Output from WaTER {w} GravityFilt</t>
  </si>
  <si>
    <t>WaTER ED2 Module Output</t>
  </si>
  <si>
    <t>Input, output and supplementary information for Case 1 Alum coagulation unit process evaluated using WaTER module Alum</t>
  </si>
  <si>
    <t>Case 1 Baseline  --&gt; WaTER Alum module</t>
  </si>
  <si>
    <t>WaTER Alum Module Input</t>
  </si>
  <si>
    <t>Input to WaTER {k} Alum</t>
  </si>
  <si>
    <t>Output from WaTER {k} Alum</t>
  </si>
  <si>
    <r>
      <t xml:space="preserve">O&amp;M Costs </t>
    </r>
    <r>
      <rPr>
        <sz val="12"/>
        <color theme="1"/>
        <rFont val="Calibri"/>
        <family val="2"/>
        <scheme val="minor"/>
      </rPr>
      <t>(no labor)</t>
    </r>
  </si>
  <si>
    <r>
      <t xml:space="preserve">O&amp;M Costs </t>
    </r>
    <r>
      <rPr>
        <sz val="12"/>
        <color theme="1"/>
        <rFont val="Calibri"/>
        <family val="2"/>
        <scheme val="minor"/>
      </rPr>
      <t>(with labor)</t>
    </r>
  </si>
  <si>
    <t>Case 3 (EC-MF-NF) Summary from WaTER model. Data summarized from Water I_O - Case 3 tabs. Tables used directly in final report.</t>
  </si>
  <si>
    <t>Alternative Units [m3/yr]</t>
  </si>
  <si>
    <t>Out - Average</t>
  </si>
  <si>
    <t>Out - Maximum</t>
  </si>
  <si>
    <t>Case 2 (MF-NF) Summary from WaTER model. Data summarized from Water I_O - Case 2 tabs. Tables used directly in final report.</t>
  </si>
  <si>
    <t>Case 1 / Baseline (Alum-MediaFiltration-EDR) Summary from WaTER model. Data summarized from Water I_O - Baseline tabs. Tables used directly in final report.</t>
  </si>
  <si>
    <r>
      <t xml:space="preserve">O&amp;M Costs </t>
    </r>
    <r>
      <rPr>
        <sz val="12"/>
        <color theme="1"/>
        <rFont val="Calibri"/>
        <family val="2"/>
        <scheme val="minor"/>
      </rPr>
      <t>(energy comparison to actuals)</t>
    </r>
  </si>
  <si>
    <t>m3/yr</t>
  </si>
  <si>
    <t>Summary of flows used for each unit process in WaTER model. Flows back calculated from treated water flows using unit process recovery</t>
  </si>
  <si>
    <t>Water Quality inputs to WaTER model. Water quality sourced from DWPR report 192</t>
  </si>
  <si>
    <t>TDS</t>
  </si>
  <si>
    <t>mg/L as CaCO3</t>
  </si>
  <si>
    <t>s.u.</t>
  </si>
  <si>
    <t>uS/cm</t>
  </si>
  <si>
    <t>NTU</t>
  </si>
  <si>
    <t>C</t>
  </si>
  <si>
    <t>Title</t>
  </si>
  <si>
    <t>WaTER - Model Input Output and Supplementary Calculations</t>
  </si>
  <si>
    <t>Summary of File Contents</t>
  </si>
  <si>
    <t>Author</t>
  </si>
  <si>
    <t>Leah Flint</t>
  </si>
  <si>
    <t>Publisher</t>
  </si>
  <si>
    <t>Bureau of Reclamation</t>
  </si>
  <si>
    <t>Date Published</t>
  </si>
  <si>
    <t>Summary of WaTER model inputs and outputs for three scenarios evaluated during S&amp;T project 1877 - Cost Modeling of Membrane Desalination Processes Using Reclamation's WaTER Model. Used with the excel-based WaTER file 'S&amp;T Project 1877 Model: WaTER - Model - 1877 Updates'
The three scenarios evaluated include: Baseline (Case 1): Chemical Coagulation - Media Filtration - Electrodialysis Reversal (EDR), Case 2: Membrane Filtration - Nanofiltration, and Case 3: Electrocoagulation - Membrane Filtration - Nanofiltration.
Spreadsheet tabs include: Flows and Recovery (Unit process flows and recovery for each scenario, including unit conversions), Water Quality (Foss Water Quality data used in modeling), Cost Summary (Summary of Capital and Operation and Maintenance (O&amp;M), and Annual costs for each scenario), WaTER I_O (Inputs and Outputs to WaTER modules for each unit process for each scenario. Tab formatting reflects WaTER model formatting).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</si>
</sst>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quot;$&quot;#,##0.000_);[Red]\(&quot;$&quot;#,##0.000\)"/>
    <numFmt numFmtId="165" formatCode="0.0000"/>
    <numFmt numFmtId="166" formatCode="0.000"/>
    <numFmt numFmtId="167" formatCode="0.0"/>
    <numFmt numFmtId="168" formatCode="0.000_)"/>
    <numFmt numFmtId="169" formatCode="mmmm\ d\,\ yyyy"/>
    <numFmt numFmtId="170" formatCode="_(&quot;$&quot;* #,##0.0_);_(&quot;$&quot;* \(#,##0.0\);_(&quot;$&quot;* &quot;-&quot;_);_(@_)"/>
    <numFmt numFmtId="171" formatCode="_(&quot;$&quot;* #,##0_);_(&quot;$&quot;* \(#,##0\);_(&quot;$&quot;* &quot;-&quot;??_);_(@_)"/>
    <numFmt numFmtId="172" formatCode="_(&quot;$&quot;* #,##0.00_);_(&quot;$&quot;* \(#,##0.00\);_(&quot;$&quot;* &quot;-&quot;_);_(@_)"/>
    <numFmt numFmtId="173" formatCode="&quot;$&quot;#,##0"/>
    <numFmt numFmtId="174" formatCode="_(&quot;$&quot;* #,##0.000_);_(&quot;$&quot;* \(#,##0.000\);_(&quot;$&quot;* &quot;-&quot;??_);_(@_)"/>
  </numFmts>
  <fonts count="2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name val="Arial"/>
      <family val="2"/>
    </font>
    <font>
      <sz val="12"/>
      <color theme="1"/>
      <name val="Garamond"/>
      <family val="1"/>
    </font>
    <font>
      <b/>
      <sz val="10"/>
      <name val="Arial"/>
      <family val="2"/>
    </font>
    <font>
      <b/>
      <sz val="11"/>
      <color theme="1"/>
      <name val="Calibri"/>
      <family val="2"/>
      <scheme val="minor"/>
    </font>
    <font>
      <vertAlign val="superscript"/>
      <sz val="12"/>
      <color theme="1"/>
      <name val="Garamond"/>
      <family val="1"/>
    </font>
    <font>
      <b/>
      <u/>
      <sz val="10"/>
      <name val="Arial"/>
      <family val="2"/>
    </font>
    <font>
      <vertAlign val="superscript"/>
      <sz val="10"/>
      <name val="Arial"/>
      <family val="2"/>
    </font>
    <font>
      <vertAlign val="subscript"/>
      <sz val="10"/>
      <name val="Arial"/>
      <family val="2"/>
    </font>
    <font>
      <sz val="8"/>
      <name val="Arial"/>
      <family val="2"/>
    </font>
    <font>
      <b/>
      <sz val="12"/>
      <name val="Arial"/>
      <family val="2"/>
    </font>
    <font>
      <sz val="12"/>
      <name val="Arial"/>
      <family val="2"/>
    </font>
    <font>
      <sz val="10"/>
      <name val="MS Sans Serif"/>
    </font>
    <font>
      <b/>
      <sz val="10"/>
      <name val="MS Sans Serif"/>
    </font>
    <font>
      <b/>
      <sz val="14"/>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cellStyleXfs>
  <cellXfs count="297">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9" fontId="0" fillId="0" borderId="0" xfId="0" applyNumberFormat="1"/>
    <xf numFmtId="8" fontId="3" fillId="0" borderId="4" xfId="0" applyNumberFormat="1" applyFont="1" applyBorder="1" applyAlignment="1">
      <alignment vertical="center" wrapText="1"/>
    </xf>
    <xf numFmtId="6" fontId="0" fillId="0" borderId="0" xfId="0" applyNumberFormat="1"/>
    <xf numFmtId="0" fontId="5" fillId="0" borderId="0" xfId="0" applyFont="1"/>
    <xf numFmtId="0" fontId="0" fillId="0" borderId="8" xfId="0" applyBorder="1"/>
    <xf numFmtId="0" fontId="0" fillId="0" borderId="8" xfId="0" applyBorder="1" applyAlignment="1">
      <alignment wrapText="1"/>
    </xf>
    <xf numFmtId="165" fontId="0" fillId="0" borderId="8" xfId="0" applyNumberFormat="1" applyBorder="1"/>
    <xf numFmtId="0" fontId="4" fillId="0" borderId="8" xfId="0" applyFont="1" applyBorder="1"/>
    <xf numFmtId="168" fontId="4" fillId="0" borderId="8" xfId="0" applyNumberFormat="1" applyFont="1" applyBorder="1"/>
    <xf numFmtId="0" fontId="5" fillId="0" borderId="8" xfId="0" applyFont="1" applyBorder="1"/>
    <xf numFmtId="9" fontId="0" fillId="0" borderId="8" xfId="0" applyNumberFormat="1" applyBorder="1"/>
    <xf numFmtId="2" fontId="4" fillId="0" borderId="8" xfId="0" applyNumberFormat="1" applyFont="1" applyBorder="1"/>
    <xf numFmtId="6" fontId="0" fillId="0" borderId="8" xfId="0" applyNumberFormat="1" applyBorder="1"/>
    <xf numFmtId="49" fontId="3" fillId="0" borderId="4" xfId="0" applyNumberFormat="1" applyFont="1" applyBorder="1" applyAlignment="1">
      <alignment vertical="center" wrapText="1"/>
    </xf>
    <xf numFmtId="0" fontId="3" fillId="0" borderId="8" xfId="0" applyFont="1" applyBorder="1" applyAlignment="1">
      <alignment vertical="center" wrapText="1"/>
    </xf>
    <xf numFmtId="166" fontId="0" fillId="0" borderId="8" xfId="0" applyNumberFormat="1" applyBorder="1"/>
    <xf numFmtId="167" fontId="0" fillId="0" borderId="8" xfId="0" applyNumberFormat="1" applyBorder="1"/>
    <xf numFmtId="1" fontId="0" fillId="0" borderId="8" xfId="0" applyNumberFormat="1" applyBorder="1"/>
    <xf numFmtId="9" fontId="0" fillId="0" borderId="8" xfId="2" applyFont="1" applyBorder="1"/>
    <xf numFmtId="0" fontId="0" fillId="0" borderId="8" xfId="0" applyBorder="1" applyAlignment="1">
      <alignment horizontal="center"/>
    </xf>
    <xf numFmtId="0" fontId="0" fillId="2" borderId="8" xfId="0" applyFill="1" applyBorder="1"/>
    <xf numFmtId="0" fontId="0" fillId="3" borderId="8" xfId="0" applyFill="1" applyBorder="1"/>
    <xf numFmtId="0" fontId="0" fillId="0" borderId="9" xfId="0" applyBorder="1"/>
    <xf numFmtId="9" fontId="0" fillId="3" borderId="8" xfId="0" applyNumberFormat="1" applyFill="1" applyBorder="1"/>
    <xf numFmtId="0" fontId="6" fillId="0" borderId="11" xfId="0" applyFont="1" applyBorder="1" applyAlignment="1">
      <alignment horizontal="left"/>
    </xf>
    <xf numFmtId="0" fontId="4" fillId="0" borderId="12" xfId="0" applyFont="1" applyBorder="1"/>
    <xf numFmtId="42" fontId="4" fillId="0" borderId="13" xfId="0" applyNumberFormat="1" applyFont="1" applyBorder="1"/>
    <xf numFmtId="0" fontId="0" fillId="0" borderId="14" xfId="0" applyBorder="1" applyAlignment="1">
      <alignment vertical="center" wrapText="1"/>
    </xf>
    <xf numFmtId="0" fontId="4" fillId="0" borderId="15" xfId="0" applyFont="1" applyBorder="1"/>
    <xf numFmtId="0" fontId="4" fillId="0" borderId="16" xfId="0" applyFont="1" applyBorder="1" applyAlignment="1">
      <alignment horizontal="center"/>
    </xf>
    <xf numFmtId="42" fontId="4" fillId="0" borderId="17" xfId="0" applyNumberFormat="1" applyFont="1" applyBorder="1"/>
    <xf numFmtId="0" fontId="0" fillId="0" borderId="18" xfId="0" applyBorder="1" applyAlignment="1">
      <alignment vertical="center" wrapText="1"/>
    </xf>
    <xf numFmtId="0" fontId="4" fillId="0" borderId="19" xfId="0" applyFont="1" applyBorder="1" applyAlignment="1">
      <alignment horizontal="left"/>
    </xf>
    <xf numFmtId="0" fontId="4" fillId="4" borderId="20" xfId="0" applyFont="1" applyFill="1" applyBorder="1"/>
    <xf numFmtId="42" fontId="4" fillId="0" borderId="21" xfId="0" applyNumberFormat="1" applyFont="1" applyBorder="1"/>
    <xf numFmtId="0" fontId="4" fillId="0" borderId="23" xfId="0" applyFont="1" applyBorder="1" applyAlignment="1">
      <alignment horizontal="left"/>
    </xf>
    <xf numFmtId="0" fontId="4" fillId="4" borderId="8" xfId="0" applyFont="1" applyFill="1" applyBorder="1"/>
    <xf numFmtId="42" fontId="4" fillId="0" borderId="24" xfId="0" applyNumberFormat="1" applyFont="1" applyBorder="1"/>
    <xf numFmtId="0" fontId="4" fillId="0" borderId="0" xfId="0" applyFont="1"/>
    <xf numFmtId="0" fontId="4" fillId="0" borderId="26" xfId="0" applyFont="1" applyBorder="1" applyAlignment="1">
      <alignment horizontal="left"/>
    </xf>
    <xf numFmtId="0" fontId="4" fillId="4" borderId="27" xfId="0" applyFont="1" applyFill="1" applyBorder="1"/>
    <xf numFmtId="42" fontId="4" fillId="0" borderId="28" xfId="0" applyNumberFormat="1" applyFont="1" applyBorder="1"/>
    <xf numFmtId="169" fontId="4" fillId="0" borderId="5" xfId="0" applyNumberFormat="1" applyFont="1" applyBorder="1" applyAlignment="1">
      <alignment horizontal="left"/>
    </xf>
    <xf numFmtId="39" fontId="4" fillId="0" borderId="29" xfId="0" applyNumberFormat="1" applyFont="1" applyBorder="1"/>
    <xf numFmtId="42" fontId="4" fillId="0" borderId="4" xfId="0" applyNumberFormat="1" applyFont="1" applyBorder="1"/>
    <xf numFmtId="0" fontId="6" fillId="0" borderId="32" xfId="0" applyFont="1" applyBorder="1" applyAlignment="1">
      <alignment horizontal="left"/>
    </xf>
    <xf numFmtId="0" fontId="4" fillId="0" borderId="33" xfId="0" applyFont="1" applyBorder="1"/>
    <xf numFmtId="42" fontId="4" fillId="0" borderId="34" xfId="0" applyNumberFormat="1" applyFont="1" applyBorder="1"/>
    <xf numFmtId="0" fontId="4" fillId="0" borderId="30" xfId="0" applyFont="1" applyBorder="1" applyAlignment="1">
      <alignment horizontal="left"/>
    </xf>
    <xf numFmtId="0" fontId="4" fillId="0" borderId="31" xfId="0" applyFont="1" applyBorder="1" applyAlignment="1">
      <alignment horizontal="center"/>
    </xf>
    <xf numFmtId="0" fontId="0" fillId="0" borderId="22" xfId="0" applyBorder="1" applyAlignment="1">
      <alignment vertical="center" wrapText="1"/>
    </xf>
    <xf numFmtId="0" fontId="4" fillId="0" borderId="11" xfId="0" applyFont="1" applyBorder="1" applyAlignment="1">
      <alignment horizontal="left"/>
    </xf>
    <xf numFmtId="0" fontId="4" fillId="4" borderId="33" xfId="0" applyFont="1" applyFill="1" applyBorder="1"/>
    <xf numFmtId="0" fontId="4" fillId="0" borderId="27" xfId="0" applyFont="1" applyBorder="1"/>
    <xf numFmtId="0" fontId="4" fillId="0" borderId="5" xfId="0" applyFont="1" applyBorder="1" applyAlignment="1">
      <alignment horizontal="left"/>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vertical="center"/>
    </xf>
    <xf numFmtId="164" fontId="3" fillId="0" borderId="4" xfId="0" applyNumberFormat="1" applyFont="1" applyBorder="1" applyAlignment="1">
      <alignment vertical="center"/>
    </xf>
    <xf numFmtId="0" fontId="0" fillId="0" borderId="8" xfId="0" quotePrefix="1" applyBorder="1"/>
    <xf numFmtId="0" fontId="4" fillId="0" borderId="42" xfId="0" applyFont="1" applyBorder="1" applyAlignment="1">
      <alignment horizontal="left"/>
    </xf>
    <xf numFmtId="0" fontId="4" fillId="0" borderId="43" xfId="0" applyFont="1" applyBorder="1" applyAlignment="1">
      <alignment horizontal="center"/>
    </xf>
    <xf numFmtId="42" fontId="4" fillId="0" borderId="44" xfId="0" applyNumberFormat="1" applyFont="1" applyBorder="1"/>
    <xf numFmtId="0" fontId="4" fillId="0" borderId="45" xfId="0" applyFont="1" applyBorder="1" applyAlignment="1">
      <alignment horizontal="left"/>
    </xf>
    <xf numFmtId="42" fontId="4" fillId="0" borderId="46" xfId="0" applyNumberFormat="1" applyFont="1" applyBorder="1"/>
    <xf numFmtId="0" fontId="4" fillId="0" borderId="37" xfId="0" applyFont="1" applyBorder="1" applyAlignment="1">
      <alignment horizontal="left"/>
    </xf>
    <xf numFmtId="42" fontId="4" fillId="0" borderId="9" xfId="0" applyNumberFormat="1" applyFont="1" applyBorder="1"/>
    <xf numFmtId="0" fontId="4" fillId="0" borderId="38" xfId="0" applyFont="1" applyBorder="1" applyAlignment="1">
      <alignment horizontal="left"/>
    </xf>
    <xf numFmtId="42" fontId="4" fillId="0" borderId="39" xfId="0" applyNumberFormat="1" applyFont="1" applyBorder="1"/>
    <xf numFmtId="42" fontId="6" fillId="0" borderId="4" xfId="0" applyNumberFormat="1" applyFont="1" applyBorder="1"/>
    <xf numFmtId="39" fontId="4" fillId="0" borderId="27" xfId="0" applyNumberFormat="1" applyFont="1" applyBorder="1"/>
    <xf numFmtId="0" fontId="6" fillId="0" borderId="0" xfId="0" applyFont="1" applyAlignment="1">
      <alignment horizontal="left"/>
    </xf>
    <xf numFmtId="0" fontId="4" fillId="0" borderId="1" xfId="0" applyFont="1" applyBorder="1"/>
    <xf numFmtId="42" fontId="4" fillId="0" borderId="1" xfId="0" applyNumberFormat="1" applyFont="1" applyBorder="1"/>
    <xf numFmtId="0" fontId="6" fillId="0" borderId="47" xfId="0" applyFont="1" applyBorder="1"/>
    <xf numFmtId="42" fontId="4" fillId="0" borderId="48" xfId="0" applyNumberFormat="1" applyFont="1" applyBorder="1"/>
    <xf numFmtId="0" fontId="4" fillId="0" borderId="32" xfId="0" applyFont="1" applyBorder="1"/>
    <xf numFmtId="0" fontId="4" fillId="0" borderId="37" xfId="0" applyFont="1" applyBorder="1"/>
    <xf numFmtId="8" fontId="4" fillId="0" borderId="9" xfId="0" applyNumberFormat="1" applyFont="1" applyBorder="1"/>
    <xf numFmtId="0" fontId="4" fillId="0" borderId="38" xfId="0" applyFont="1" applyBorder="1"/>
    <xf numFmtId="170" fontId="4" fillId="0" borderId="1" xfId="0" applyNumberFormat="1" applyFont="1" applyBorder="1"/>
    <xf numFmtId="171" fontId="0" fillId="0" borderId="0" xfId="0" applyNumberFormat="1"/>
    <xf numFmtId="0" fontId="3" fillId="0" borderId="8" xfId="0" applyFont="1" applyBorder="1" applyAlignment="1">
      <alignment vertical="center"/>
    </xf>
    <xf numFmtId="42" fontId="3" fillId="0" borderId="8" xfId="0" applyNumberFormat="1" applyFont="1" applyBorder="1" applyAlignment="1">
      <alignment vertical="center"/>
    </xf>
    <xf numFmtId="42" fontId="0" fillId="0" borderId="8" xfId="0" applyNumberFormat="1" applyBorder="1"/>
    <xf numFmtId="171" fontId="0" fillId="0" borderId="8" xfId="1" applyNumberFormat="1" applyFont="1" applyBorder="1"/>
    <xf numFmtId="0" fontId="6" fillId="0" borderId="8" xfId="0" applyFont="1" applyBorder="1"/>
    <xf numFmtId="42" fontId="4" fillId="0" borderId="8" xfId="0" applyNumberFormat="1" applyFont="1" applyBorder="1"/>
    <xf numFmtId="171" fontId="0" fillId="0" borderId="8" xfId="0" applyNumberFormat="1" applyBorder="1"/>
    <xf numFmtId="0" fontId="4" fillId="0" borderId="8" xfId="0" applyFont="1" applyBorder="1" applyAlignment="1">
      <alignment horizontal="left"/>
    </xf>
    <xf numFmtId="44" fontId="4" fillId="0" borderId="8" xfId="0" applyNumberFormat="1" applyFont="1" applyBorder="1"/>
    <xf numFmtId="171" fontId="4" fillId="0" borderId="8" xfId="0" applyNumberFormat="1" applyFont="1" applyBorder="1"/>
    <xf numFmtId="0" fontId="0" fillId="0" borderId="49" xfId="0" applyBorder="1"/>
    <xf numFmtId="171" fontId="4" fillId="0" borderId="49" xfId="0" applyNumberFormat="1" applyFont="1" applyBorder="1"/>
    <xf numFmtId="171" fontId="0" fillId="0" borderId="49" xfId="0" applyNumberFormat="1" applyBorder="1"/>
    <xf numFmtId="171" fontId="4" fillId="0" borderId="0" xfId="0" applyNumberFormat="1" applyFont="1"/>
    <xf numFmtId="0" fontId="2" fillId="0" borderId="8" xfId="0" applyFont="1" applyBorder="1" applyAlignment="1">
      <alignment horizontal="center" vertical="center"/>
    </xf>
    <xf numFmtId="0" fontId="0" fillId="0" borderId="10" xfId="0" applyBorder="1"/>
    <xf numFmtId="0" fontId="4" fillId="0" borderId="8" xfId="3" applyBorder="1"/>
    <xf numFmtId="1" fontId="4" fillId="0" borderId="8" xfId="3" applyNumberFormat="1" applyBorder="1"/>
    <xf numFmtId="1" fontId="4" fillId="0" borderId="10" xfId="3" applyNumberFormat="1" applyBorder="1"/>
    <xf numFmtId="0" fontId="9" fillId="0" borderId="8" xfId="3" applyFont="1" applyBorder="1"/>
    <xf numFmtId="1" fontId="4" fillId="0" borderId="8" xfId="3" applyNumberFormat="1" applyBorder="1" applyAlignment="1">
      <alignment horizontal="left"/>
    </xf>
    <xf numFmtId="2" fontId="4" fillId="0" borderId="8" xfId="3" applyNumberFormat="1" applyBorder="1"/>
    <xf numFmtId="167" fontId="4" fillId="0" borderId="8" xfId="3" applyNumberFormat="1" applyBorder="1"/>
    <xf numFmtId="0" fontId="10" fillId="0" borderId="8" xfId="3" applyFont="1" applyBorder="1"/>
    <xf numFmtId="0" fontId="12" fillId="0" borderId="8" xfId="3" applyFont="1" applyBorder="1" applyAlignment="1">
      <alignment wrapText="1"/>
    </xf>
    <xf numFmtId="0" fontId="4" fillId="0" borderId="0" xfId="3"/>
    <xf numFmtId="0" fontId="4" fillId="0" borderId="10" xfId="3" applyBorder="1"/>
    <xf numFmtId="0" fontId="10" fillId="0" borderId="10" xfId="3" applyFont="1" applyBorder="1"/>
    <xf numFmtId="0" fontId="4" fillId="0" borderId="8" xfId="3" applyBorder="1" applyAlignment="1">
      <alignment horizontal="center"/>
    </xf>
    <xf numFmtId="0" fontId="4" fillId="0" borderId="8" xfId="3" applyBorder="1" applyAlignment="1">
      <alignment horizontal="center" vertical="center"/>
    </xf>
    <xf numFmtId="0" fontId="4" fillId="0" borderId="0" xfId="4"/>
    <xf numFmtId="167" fontId="4" fillId="0" borderId="8" xfId="3" applyNumberFormat="1" applyBorder="1" applyAlignment="1">
      <alignment horizontal="center"/>
    </xf>
    <xf numFmtId="1" fontId="4" fillId="0" borderId="8" xfId="3" applyNumberFormat="1" applyBorder="1" applyAlignment="1">
      <alignment horizontal="center"/>
    </xf>
    <xf numFmtId="2" fontId="4" fillId="0" borderId="8" xfId="3" applyNumberFormat="1" applyBorder="1" applyAlignment="1">
      <alignment horizontal="center"/>
    </xf>
    <xf numFmtId="1" fontId="4" fillId="0" borderId="0" xfId="3" applyNumberFormat="1" applyAlignment="1">
      <alignment horizontal="center"/>
    </xf>
    <xf numFmtId="0" fontId="2" fillId="0" borderId="0" xfId="0" applyFont="1" applyAlignment="1">
      <alignment vertical="center" wrapText="1"/>
    </xf>
    <xf numFmtId="0" fontId="6" fillId="0" borderId="47" xfId="4" applyFont="1" applyBorder="1"/>
    <xf numFmtId="0" fontId="4" fillId="0" borderId="48" xfId="4" applyBorder="1"/>
    <xf numFmtId="0" fontId="4" fillId="0" borderId="30" xfId="4" applyBorder="1"/>
    <xf numFmtId="0" fontId="4" fillId="0" borderId="17" xfId="4" applyBorder="1"/>
    <xf numFmtId="42" fontId="4" fillId="0" borderId="17" xfId="5" applyNumberFormat="1" applyFill="1" applyBorder="1"/>
    <xf numFmtId="42" fontId="4" fillId="0" borderId="17" xfId="5" applyNumberFormat="1" applyFont="1" applyFill="1" applyBorder="1"/>
    <xf numFmtId="0" fontId="4" fillId="0" borderId="51" xfId="4" applyBorder="1"/>
    <xf numFmtId="0" fontId="6" fillId="0" borderId="5" xfId="4" applyFont="1" applyBorder="1"/>
    <xf numFmtId="42" fontId="6" fillId="0" borderId="1" xfId="1" applyNumberFormat="1" applyFont="1" applyFill="1" applyBorder="1"/>
    <xf numFmtId="0" fontId="6" fillId="0" borderId="52" xfId="4" applyFont="1" applyBorder="1"/>
    <xf numFmtId="171" fontId="6" fillId="0" borderId="1" xfId="5" applyNumberFormat="1" applyFont="1" applyFill="1" applyBorder="1"/>
    <xf numFmtId="171" fontId="4" fillId="0" borderId="35" xfId="5" applyNumberFormat="1" applyFill="1" applyBorder="1"/>
    <xf numFmtId="42" fontId="4" fillId="0" borderId="0" xfId="5" applyNumberFormat="1" applyFill="1" applyBorder="1"/>
    <xf numFmtId="42" fontId="6" fillId="0" borderId="1" xfId="4" applyNumberFormat="1" applyFont="1" applyBorder="1"/>
    <xf numFmtId="0" fontId="13" fillId="0" borderId="1" xfId="4" applyFont="1" applyBorder="1"/>
    <xf numFmtId="171" fontId="13" fillId="0" borderId="1" xfId="4" applyNumberFormat="1" applyFont="1" applyBorder="1"/>
    <xf numFmtId="0" fontId="13" fillId="0" borderId="47" xfId="4" applyFont="1" applyBorder="1"/>
    <xf numFmtId="171" fontId="13" fillId="0" borderId="34" xfId="4" applyNumberFormat="1" applyFont="1" applyBorder="1"/>
    <xf numFmtId="0" fontId="13" fillId="0" borderId="5" xfId="4" applyFont="1" applyBorder="1"/>
    <xf numFmtId="44" fontId="13" fillId="0" borderId="39" xfId="4" applyNumberFormat="1" applyFont="1" applyBorder="1"/>
    <xf numFmtId="171" fontId="4" fillId="0" borderId="17" xfId="5" applyNumberFormat="1" applyFill="1" applyBorder="1"/>
    <xf numFmtId="171" fontId="4" fillId="0" borderId="17" xfId="4" applyNumberFormat="1" applyBorder="1"/>
    <xf numFmtId="0" fontId="6" fillId="0" borderId="30" xfId="4" applyFont="1" applyBorder="1" applyAlignment="1">
      <alignment horizontal="left"/>
    </xf>
    <xf numFmtId="42" fontId="6" fillId="0" borderId="14" xfId="4" applyNumberFormat="1" applyFont="1" applyBorder="1"/>
    <xf numFmtId="0" fontId="4" fillId="0" borderId="30" xfId="4" applyBorder="1" applyAlignment="1">
      <alignment horizontal="left"/>
    </xf>
    <xf numFmtId="172" fontId="6" fillId="0" borderId="53" xfId="4" applyNumberFormat="1" applyFont="1" applyBorder="1"/>
    <xf numFmtId="0" fontId="4" fillId="0" borderId="5" xfId="4" applyBorder="1" applyAlignment="1">
      <alignment horizontal="left"/>
    </xf>
    <xf numFmtId="172" fontId="6" fillId="0" borderId="54" xfId="4" applyNumberFormat="1" applyFont="1" applyBorder="1"/>
    <xf numFmtId="44" fontId="0" fillId="0" borderId="8" xfId="0" applyNumberFormat="1" applyBorder="1"/>
    <xf numFmtId="9" fontId="0" fillId="0" borderId="8" xfId="0" applyNumberFormat="1" applyBorder="1" applyAlignment="1">
      <alignment horizontal="right"/>
    </xf>
    <xf numFmtId="42" fontId="4" fillId="5" borderId="8" xfId="6" applyNumberFormat="1" applyFill="1" applyBorder="1"/>
    <xf numFmtId="173" fontId="4" fillId="5" borderId="8" xfId="6" applyNumberFormat="1" applyFill="1" applyBorder="1"/>
    <xf numFmtId="1" fontId="4" fillId="5" borderId="8" xfId="6" applyNumberFormat="1" applyFill="1" applyBorder="1"/>
    <xf numFmtId="167" fontId="4" fillId="5" borderId="8" xfId="6" applyNumberFormat="1" applyFill="1" applyBorder="1"/>
    <xf numFmtId="1" fontId="4" fillId="5" borderId="8" xfId="3" applyNumberFormat="1" applyFill="1" applyBorder="1"/>
    <xf numFmtId="0" fontId="4" fillId="5" borderId="8" xfId="3" applyFill="1" applyBorder="1" applyAlignment="1">
      <alignment horizontal="right"/>
    </xf>
    <xf numFmtId="1" fontId="4" fillId="5" borderId="8" xfId="3" applyNumberFormat="1" applyFill="1" applyBorder="1" applyAlignment="1">
      <alignment horizontal="right"/>
    </xf>
    <xf numFmtId="2" fontId="4" fillId="5" borderId="8" xfId="3" applyNumberFormat="1" applyFill="1" applyBorder="1"/>
    <xf numFmtId="0" fontId="4" fillId="5" borderId="8" xfId="3" applyFill="1" applyBorder="1"/>
    <xf numFmtId="0" fontId="4" fillId="0" borderId="37" xfId="4" applyBorder="1"/>
    <xf numFmtId="171" fontId="4" fillId="0" borderId="8" xfId="5" applyNumberFormat="1" applyFill="1" applyBorder="1"/>
    <xf numFmtId="1" fontId="4" fillId="5" borderId="8" xfId="4" applyNumberFormat="1" applyFill="1" applyBorder="1"/>
    <xf numFmtId="0" fontId="4" fillId="0" borderId="8" xfId="4" applyBorder="1"/>
    <xf numFmtId="0" fontId="4" fillId="0" borderId="38" xfId="4" applyBorder="1"/>
    <xf numFmtId="171" fontId="4" fillId="0" borderId="27" xfId="5" applyNumberFormat="1" applyFill="1" applyBorder="1"/>
    <xf numFmtId="0" fontId="4" fillId="0" borderId="27" xfId="4" applyBorder="1"/>
    <xf numFmtId="0" fontId="6" fillId="0" borderId="6" xfId="4" applyFont="1" applyBorder="1"/>
    <xf numFmtId="171" fontId="6" fillId="0" borderId="55" xfId="5" applyNumberFormat="1" applyFont="1" applyFill="1" applyBorder="1"/>
    <xf numFmtId="0" fontId="4" fillId="0" borderId="55" xfId="4" applyBorder="1"/>
    <xf numFmtId="171" fontId="4" fillId="0" borderId="0" xfId="5" applyNumberFormat="1" applyFill="1" applyBorder="1"/>
    <xf numFmtId="0" fontId="6" fillId="0" borderId="32" xfId="4" applyFont="1" applyBorder="1"/>
    <xf numFmtId="171" fontId="4" fillId="0" borderId="33" xfId="5" applyNumberFormat="1" applyFill="1" applyBorder="1"/>
    <xf numFmtId="0" fontId="4" fillId="0" borderId="33" xfId="4" applyBorder="1"/>
    <xf numFmtId="0" fontId="4" fillId="5" borderId="8" xfId="4" applyFill="1" applyBorder="1"/>
    <xf numFmtId="0" fontId="4" fillId="5" borderId="27" xfId="4" applyFill="1" applyBorder="1"/>
    <xf numFmtId="1" fontId="0" fillId="0" borderId="0" xfId="0" applyNumberFormat="1"/>
    <xf numFmtId="0" fontId="4" fillId="0" borderId="2" xfId="4" applyBorder="1"/>
    <xf numFmtId="0" fontId="4" fillId="0" borderId="34" xfId="4" applyBorder="1"/>
    <xf numFmtId="0" fontId="4" fillId="0" borderId="9" xfId="4" applyBorder="1"/>
    <xf numFmtId="0" fontId="4" fillId="0" borderId="39" xfId="4" applyBorder="1"/>
    <xf numFmtId="171" fontId="6" fillId="0" borderId="55" xfId="4" applyNumberFormat="1" applyFont="1" applyBorder="1"/>
    <xf numFmtId="0" fontId="13" fillId="0" borderId="6" xfId="4" applyFont="1" applyBorder="1"/>
    <xf numFmtId="171" fontId="13" fillId="0" borderId="2" xfId="4" applyNumberFormat="1" applyFont="1" applyBorder="1"/>
    <xf numFmtId="174" fontId="13" fillId="0" borderId="0" xfId="4" applyNumberFormat="1" applyFont="1"/>
    <xf numFmtId="0" fontId="14" fillId="0" borderId="0" xfId="4" applyFont="1"/>
    <xf numFmtId="44" fontId="13" fillId="0" borderId="2" xfId="4" applyNumberFormat="1" applyFont="1" applyBorder="1"/>
    <xf numFmtId="0" fontId="4" fillId="0" borderId="47" xfId="4" applyBorder="1"/>
    <xf numFmtId="0" fontId="4" fillId="0" borderId="5" xfId="4" applyBorder="1"/>
    <xf numFmtId="171" fontId="4" fillId="0" borderId="4" xfId="5" applyNumberFormat="1" applyFill="1" applyBorder="1"/>
    <xf numFmtId="171" fontId="6" fillId="0" borderId="4" xfId="6" applyNumberFormat="1" applyFont="1" applyFill="1" applyBorder="1"/>
    <xf numFmtId="42" fontId="4" fillId="0" borderId="17" xfId="4" applyNumberFormat="1" applyBorder="1"/>
    <xf numFmtId="171" fontId="6" fillId="0" borderId="9" xfId="4" applyNumberFormat="1" applyFont="1" applyBorder="1"/>
    <xf numFmtId="174" fontId="6" fillId="0" borderId="9" xfId="4" applyNumberFormat="1" applyFont="1" applyBorder="1"/>
    <xf numFmtId="44" fontId="6" fillId="0" borderId="9" xfId="4" applyNumberFormat="1" applyFont="1" applyBorder="1"/>
    <xf numFmtId="171" fontId="6" fillId="0" borderId="39" xfId="4" applyNumberFormat="1" applyFont="1" applyBorder="1"/>
    <xf numFmtId="44" fontId="4" fillId="0" borderId="8" xfId="1" applyFont="1" applyBorder="1" applyAlignment="1">
      <alignment horizontal="left"/>
    </xf>
    <xf numFmtId="44" fontId="4" fillId="0" borderId="8" xfId="1" applyFont="1" applyFill="1" applyBorder="1" applyAlignment="1">
      <alignment horizontal="center"/>
    </xf>
    <xf numFmtId="3" fontId="0" fillId="0" borderId="8" xfId="0" applyNumberFormat="1" applyBorder="1"/>
    <xf numFmtId="0" fontId="0" fillId="6" borderId="8" xfId="0" applyFill="1" applyBorder="1"/>
    <xf numFmtId="0" fontId="0" fillId="0" borderId="37" xfId="0" applyBorder="1"/>
    <xf numFmtId="167" fontId="4" fillId="5" borderId="8" xfId="3" applyNumberFormat="1" applyFill="1" applyBorder="1"/>
    <xf numFmtId="9" fontId="4" fillId="5" borderId="8" xfId="2" applyFont="1" applyFill="1" applyBorder="1"/>
    <xf numFmtId="9" fontId="0" fillId="7" borderId="8" xfId="0" applyNumberFormat="1" applyFill="1" applyBorder="1"/>
    <xf numFmtId="0" fontId="0" fillId="7" borderId="8" xfId="0" applyFill="1" applyBorder="1"/>
    <xf numFmtId="2" fontId="0" fillId="7" borderId="8" xfId="0" applyNumberFormat="1" applyFill="1" applyBorder="1"/>
    <xf numFmtId="9" fontId="15" fillId="7" borderId="8" xfId="2" applyFont="1" applyFill="1" applyBorder="1"/>
    <xf numFmtId="0" fontId="0" fillId="0" borderId="8" xfId="0" applyBorder="1" applyAlignment="1">
      <alignment horizontal="left" vertical="center" wrapText="1"/>
    </xf>
    <xf numFmtId="0" fontId="16" fillId="0" borderId="37" xfId="0" applyFont="1" applyBorder="1"/>
    <xf numFmtId="164" fontId="16" fillId="0" borderId="8" xfId="0" applyNumberFormat="1" applyFont="1" applyBorder="1"/>
    <xf numFmtId="0" fontId="16" fillId="0" borderId="8" xfId="0" applyFont="1" applyBorder="1"/>
    <xf numFmtId="8" fontId="0" fillId="0" borderId="8" xfId="0" applyNumberFormat="1" applyBorder="1" applyAlignment="1">
      <alignment horizontal="center"/>
    </xf>
    <xf numFmtId="0" fontId="16" fillId="0" borderId="38" xfId="0" applyFont="1" applyBorder="1"/>
    <xf numFmtId="8" fontId="16" fillId="0" borderId="27" xfId="0" applyNumberFormat="1" applyFont="1" applyBorder="1"/>
    <xf numFmtId="0" fontId="16" fillId="0" borderId="27" xfId="0" applyFont="1" applyBorder="1"/>
    <xf numFmtId="0" fontId="0" fillId="0" borderId="27" xfId="0" applyBorder="1"/>
    <xf numFmtId="0" fontId="0" fillId="0" borderId="56" xfId="0" applyBorder="1"/>
    <xf numFmtId="0" fontId="0" fillId="0" borderId="16" xfId="0" applyBorder="1"/>
    <xf numFmtId="0" fontId="0" fillId="0" borderId="16" xfId="0" applyBorder="1" applyAlignment="1">
      <alignment horizontal="center"/>
    </xf>
    <xf numFmtId="2" fontId="0" fillId="0" borderId="8" xfId="0" applyNumberFormat="1" applyBorder="1"/>
    <xf numFmtId="6" fontId="16" fillId="0" borderId="8" xfId="0" applyNumberFormat="1" applyFont="1" applyBorder="1"/>
    <xf numFmtId="44" fontId="4" fillId="0" borderId="8" xfId="1" applyFont="1" applyFill="1" applyBorder="1"/>
    <xf numFmtId="0" fontId="6" fillId="0" borderId="37" xfId="4" applyFont="1" applyBorder="1"/>
    <xf numFmtId="44" fontId="6" fillId="0" borderId="8" xfId="1" applyFont="1" applyFill="1" applyBorder="1"/>
    <xf numFmtId="44" fontId="0" fillId="0" borderId="8" xfId="1" applyFont="1" applyBorder="1"/>
    <xf numFmtId="0" fontId="6" fillId="0" borderId="38" xfId="4" applyFont="1" applyBorder="1"/>
    <xf numFmtId="44" fontId="16" fillId="0" borderId="27" xfId="1" applyFont="1" applyBorder="1"/>
    <xf numFmtId="0" fontId="4" fillId="0" borderId="32" xfId="4" applyBorder="1"/>
    <xf numFmtId="0" fontId="0" fillId="0" borderId="33" xfId="0" applyBorder="1"/>
    <xf numFmtId="0" fontId="4" fillId="0" borderId="37" xfId="3" applyBorder="1"/>
    <xf numFmtId="9" fontId="4" fillId="0" borderId="8" xfId="2" applyFont="1" applyFill="1" applyBorder="1"/>
    <xf numFmtId="8" fontId="4" fillId="0" borderId="8" xfId="4" applyNumberFormat="1" applyBorder="1"/>
    <xf numFmtId="0" fontId="6" fillId="0" borderId="37" xfId="4" applyFont="1" applyBorder="1" applyAlignment="1">
      <alignment horizontal="left"/>
    </xf>
    <xf numFmtId="171" fontId="6" fillId="0" borderId="8" xfId="4" applyNumberFormat="1" applyFont="1" applyBorder="1"/>
    <xf numFmtId="0" fontId="6" fillId="0" borderId="38" xfId="4" applyFont="1" applyBorder="1" applyAlignment="1">
      <alignment horizontal="left"/>
    </xf>
    <xf numFmtId="174" fontId="6" fillId="0" borderId="27" xfId="4" applyNumberFormat="1" applyFont="1" applyBorder="1"/>
    <xf numFmtId="44" fontId="4" fillId="0" borderId="27" xfId="4" applyNumberFormat="1" applyBorder="1"/>
    <xf numFmtId="0" fontId="4" fillId="0" borderId="38" xfId="4" applyBorder="1" applyAlignment="1">
      <alignment horizontal="left"/>
    </xf>
    <xf numFmtId="0" fontId="0" fillId="0" borderId="58" xfId="0" applyBorder="1"/>
    <xf numFmtId="0" fontId="0" fillId="0" borderId="43" xfId="0" applyBorder="1"/>
    <xf numFmtId="164" fontId="0" fillId="0" borderId="8" xfId="0" applyNumberFormat="1" applyBorder="1"/>
    <xf numFmtId="0" fontId="7" fillId="0" borderId="8" xfId="0" applyFont="1" applyBorder="1"/>
    <xf numFmtId="0" fontId="7" fillId="0" borderId="0" xfId="0" applyFont="1"/>
    <xf numFmtId="0" fontId="17" fillId="0" borderId="0" xfId="0" applyFont="1"/>
    <xf numFmtId="0" fontId="18" fillId="0" borderId="0" xfId="0" applyFont="1"/>
    <xf numFmtId="0" fontId="19" fillId="0" borderId="0" xfId="0" applyFont="1"/>
    <xf numFmtId="0" fontId="2" fillId="0" borderId="8" xfId="0" applyFont="1" applyBorder="1" applyAlignment="1">
      <alignment horizontal="center" vertical="center" wrapText="1"/>
    </xf>
    <xf numFmtId="9" fontId="3" fillId="0" borderId="8" xfId="0" applyNumberFormat="1" applyFont="1" applyBorder="1" applyAlignment="1">
      <alignment vertical="center" wrapText="1"/>
    </xf>
    <xf numFmtId="0" fontId="7" fillId="8" borderId="8" xfId="0" applyFont="1" applyFill="1" applyBorder="1" applyAlignment="1">
      <alignment wrapText="1"/>
    </xf>
    <xf numFmtId="0" fontId="7" fillId="0" borderId="0" xfId="0" applyFont="1" applyAlignment="1">
      <alignment wrapText="1"/>
    </xf>
    <xf numFmtId="0" fontId="0" fillId="0" borderId="0" xfId="0" applyAlignment="1">
      <alignment horizontal="left" wrapText="1"/>
    </xf>
    <xf numFmtId="0" fontId="0" fillId="0" borderId="0" xfId="0" applyAlignment="1">
      <alignment wrapText="1"/>
    </xf>
    <xf numFmtId="0" fontId="0" fillId="0" borderId="59" xfId="0" applyBorder="1" applyAlignment="1">
      <alignment wrapText="1"/>
    </xf>
    <xf numFmtId="0" fontId="0" fillId="0" borderId="9" xfId="0" applyBorder="1" applyAlignment="1">
      <alignment wrapText="1"/>
    </xf>
    <xf numFmtId="0" fontId="0" fillId="0" borderId="57" xfId="0" applyBorder="1" applyAlignment="1">
      <alignment wrapText="1"/>
    </xf>
    <xf numFmtId="0" fontId="4" fillId="0" borderId="9" xfId="4" applyBorder="1" applyAlignment="1">
      <alignment wrapText="1"/>
    </xf>
    <xf numFmtId="0" fontId="0" fillId="0" borderId="39" xfId="0" applyBorder="1" applyAlignment="1">
      <alignment wrapText="1"/>
    </xf>
    <xf numFmtId="0" fontId="0" fillId="0" borderId="34" xfId="0" applyBorder="1" applyAlignment="1">
      <alignment wrapText="1"/>
    </xf>
    <xf numFmtId="0" fontId="6" fillId="0" borderId="0" xfId="4" applyFont="1"/>
    <xf numFmtId="44" fontId="16" fillId="0" borderId="0" xfId="1" applyFont="1" applyBorder="1"/>
    <xf numFmtId="0" fontId="4" fillId="0" borderId="0" xfId="3" applyAlignment="1">
      <alignment horizontal="center"/>
    </xf>
    <xf numFmtId="0" fontId="4" fillId="0" borderId="0" xfId="0" applyFont="1" applyAlignment="1">
      <alignment horizontal="left"/>
    </xf>
    <xf numFmtId="39" fontId="4" fillId="0" borderId="0" xfId="0" applyNumberFormat="1" applyFont="1"/>
    <xf numFmtId="42" fontId="6" fillId="0" borderId="0" xfId="0" applyNumberFormat="1" applyFont="1"/>
    <xf numFmtId="164" fontId="3" fillId="0" borderId="0" xfId="0" applyNumberFormat="1" applyFont="1" applyAlignment="1">
      <alignment vertical="center"/>
    </xf>
    <xf numFmtId="0" fontId="0" fillId="10" borderId="8" xfId="0" applyFill="1" applyBorder="1"/>
    <xf numFmtId="0" fontId="0" fillId="0" borderId="8" xfId="0" applyBorder="1" applyAlignment="1">
      <alignment horizontal="left" wrapText="1"/>
    </xf>
    <xf numFmtId="14" fontId="0" fillId="0" borderId="8" xfId="0" applyNumberFormat="1" applyBorder="1" applyAlignment="1">
      <alignment horizontal="left" wrapText="1"/>
    </xf>
    <xf numFmtId="0" fontId="2"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0" xfId="0" applyFont="1" applyBorder="1" applyAlignment="1">
      <alignment horizontal="center" vertical="center" wrapText="1"/>
    </xf>
    <xf numFmtId="0" fontId="0" fillId="9" borderId="8" xfId="0" applyFill="1" applyBorder="1" applyAlignment="1">
      <alignment horizontal="left" wrapText="1"/>
    </xf>
    <xf numFmtId="0" fontId="7" fillId="0" borderId="8" xfId="0" applyFont="1" applyBorder="1" applyAlignment="1">
      <alignment horizontal="center"/>
    </xf>
    <xf numFmtId="0" fontId="3" fillId="0" borderId="10" xfId="0" applyFont="1" applyBorder="1" applyAlignment="1">
      <alignment horizontal="center" vertical="center" wrapText="1"/>
    </xf>
    <xf numFmtId="0" fontId="0" fillId="0" borderId="8" xfId="0" applyBorder="1" applyAlignment="1">
      <alignment horizontal="center" wrapText="1"/>
    </xf>
    <xf numFmtId="0" fontId="0" fillId="0" borderId="10" xfId="0" applyBorder="1" applyAlignment="1">
      <alignment horizontal="center"/>
    </xf>
    <xf numFmtId="0" fontId="0" fillId="0" borderId="8" xfId="0" applyBorder="1" applyAlignment="1">
      <alignment horizontal="center" textRotation="90" wrapText="1"/>
    </xf>
    <xf numFmtId="0" fontId="0" fillId="0" borderId="8" xfId="0" applyBorder="1" applyAlignment="1">
      <alignment horizontal="center"/>
    </xf>
    <xf numFmtId="0" fontId="2" fillId="0" borderId="8" xfId="0" applyFont="1" applyBorder="1" applyAlignment="1">
      <alignment horizontal="center" vertical="center"/>
    </xf>
    <xf numFmtId="167" fontId="0" fillId="0" borderId="8" xfId="0" applyNumberFormat="1" applyBorder="1" applyAlignment="1">
      <alignment horizontal="center"/>
    </xf>
    <xf numFmtId="0" fontId="0" fillId="0" borderId="7"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22" xfId="0" applyBorder="1" applyAlignment="1">
      <alignment horizontal="left" vertical="center" wrapText="1"/>
    </xf>
    <xf numFmtId="0" fontId="0" fillId="0" borderId="25" xfId="0" applyBorder="1" applyAlignment="1">
      <alignment horizontal="left" vertical="center" wrapText="1"/>
    </xf>
    <xf numFmtId="0" fontId="0" fillId="0" borderId="3" xfId="0" applyBorder="1" applyAlignment="1">
      <alignment horizontal="left" vertical="center" wrapText="1"/>
    </xf>
    <xf numFmtId="0" fontId="0" fillId="0" borderId="36"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7" fillId="0" borderId="50" xfId="0" applyFont="1" applyBorder="1" applyAlignment="1">
      <alignment horizontal="center"/>
    </xf>
    <xf numFmtId="0" fontId="0" fillId="0" borderId="43" xfId="0" applyBorder="1" applyAlignment="1">
      <alignment horizontal="center"/>
    </xf>
  </cellXfs>
  <cellStyles count="7">
    <cellStyle name="Currency" xfId="1" builtinId="4"/>
    <cellStyle name="Currency_Microfiltation" xfId="6" xr:uid="{F25B74C3-D695-4EA5-9DFF-27306D582F22}"/>
    <cellStyle name="Currency_SurrateOP" xfId="5" xr:uid="{81602E35-A8E1-4C07-9896-FB7366C39F4B}"/>
    <cellStyle name="Normal" xfId="0" builtinId="0"/>
    <cellStyle name="Normal_SurrateIP" xfId="3" xr:uid="{58B159CF-89B1-45F5-9FE4-185C48026534}"/>
    <cellStyle name="Normal_SurrateOP" xfId="4" xr:uid="{96702085-3388-41E1-9A5E-55F987A55DF6}"/>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1044677</xdr:colOff>
      <xdr:row>68</xdr:row>
      <xdr:rowOff>0</xdr:rowOff>
    </xdr:from>
    <xdr:to>
      <xdr:col>19</xdr:col>
      <xdr:colOff>360910</xdr:colOff>
      <xdr:row>109</xdr:row>
      <xdr:rowOff>132343</xdr:rowOff>
    </xdr:to>
    <xdr:pic>
      <xdr:nvPicPr>
        <xdr:cNvPr id="5" name="Picture 4">
          <a:extLst>
            <a:ext uri="{FF2B5EF4-FFF2-40B4-BE49-F238E27FC236}">
              <a16:creationId xmlns:a16="http://schemas.microsoft.com/office/drawing/2014/main" id="{D5AED086-542B-D5FC-57A2-AB68F49C705F}"/>
            </a:ext>
          </a:extLst>
        </xdr:cNvPr>
        <xdr:cNvPicPr>
          <a:picLocks noChangeAspect="1"/>
        </xdr:cNvPicPr>
      </xdr:nvPicPr>
      <xdr:blipFill>
        <a:blip xmlns:r="http://schemas.openxmlformats.org/officeDocument/2006/relationships" r:embed="rId1"/>
        <a:stretch>
          <a:fillRect/>
        </a:stretch>
      </xdr:blipFill>
      <xdr:spPr>
        <a:xfrm>
          <a:off x="7521677" y="14060129"/>
          <a:ext cx="14076910" cy="7690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19050</xdr:colOff>
      <xdr:row>20</xdr:row>
      <xdr:rowOff>161925</xdr:rowOff>
    </xdr:from>
    <xdr:to>
      <xdr:col>19</xdr:col>
      <xdr:colOff>48649</xdr:colOff>
      <xdr:row>47</xdr:row>
      <xdr:rowOff>1304</xdr:rowOff>
    </xdr:to>
    <xdr:pic>
      <xdr:nvPicPr>
        <xdr:cNvPr id="2" name="Picture 1">
          <a:extLst>
            <a:ext uri="{FF2B5EF4-FFF2-40B4-BE49-F238E27FC236}">
              <a16:creationId xmlns:a16="http://schemas.microsoft.com/office/drawing/2014/main" id="{61052329-0F5C-F404-3DF2-EB3AF465D039}"/>
            </a:ext>
          </a:extLst>
        </xdr:cNvPr>
        <xdr:cNvPicPr>
          <a:picLocks noChangeAspect="1"/>
        </xdr:cNvPicPr>
      </xdr:nvPicPr>
      <xdr:blipFill>
        <a:blip xmlns:r="http://schemas.openxmlformats.org/officeDocument/2006/relationships" r:embed="rId1"/>
        <a:stretch>
          <a:fillRect/>
        </a:stretch>
      </xdr:blipFill>
      <xdr:spPr>
        <a:xfrm>
          <a:off x="9124950" y="1971675"/>
          <a:ext cx="7049524" cy="4811429"/>
        </a:xfrm>
        <a:prstGeom prst="rect">
          <a:avLst/>
        </a:prstGeom>
      </xdr:spPr>
    </xdr:pic>
    <xdr:clientData/>
  </xdr:twoCellAnchor>
  <xdr:twoCellAnchor editAs="oneCell">
    <xdr:from>
      <xdr:col>10</xdr:col>
      <xdr:colOff>0</xdr:colOff>
      <xdr:row>49</xdr:row>
      <xdr:rowOff>0</xdr:rowOff>
    </xdr:from>
    <xdr:to>
      <xdr:col>19</xdr:col>
      <xdr:colOff>504044</xdr:colOff>
      <xdr:row>73</xdr:row>
      <xdr:rowOff>121516</xdr:rowOff>
    </xdr:to>
    <xdr:pic>
      <xdr:nvPicPr>
        <xdr:cNvPr id="3" name="Picture 2">
          <a:extLst>
            <a:ext uri="{FF2B5EF4-FFF2-40B4-BE49-F238E27FC236}">
              <a16:creationId xmlns:a16="http://schemas.microsoft.com/office/drawing/2014/main" id="{E6B7A5EE-2616-F486-131D-8FD0917D88BA}"/>
            </a:ext>
          </a:extLst>
        </xdr:cNvPr>
        <xdr:cNvPicPr>
          <a:picLocks noChangeAspect="1"/>
        </xdr:cNvPicPr>
      </xdr:nvPicPr>
      <xdr:blipFill>
        <a:blip xmlns:r="http://schemas.openxmlformats.org/officeDocument/2006/relationships" r:embed="rId2"/>
        <a:stretch>
          <a:fillRect/>
        </a:stretch>
      </xdr:blipFill>
      <xdr:spPr>
        <a:xfrm>
          <a:off x="10382250" y="7067550"/>
          <a:ext cx="6247619" cy="46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4</xdr:row>
      <xdr:rowOff>0</xdr:rowOff>
    </xdr:from>
    <xdr:to>
      <xdr:col>26</xdr:col>
      <xdr:colOff>314675</xdr:colOff>
      <xdr:row>46</xdr:row>
      <xdr:rowOff>64824</xdr:rowOff>
    </xdr:to>
    <xdr:pic>
      <xdr:nvPicPr>
        <xdr:cNvPr id="2" name="Picture 1">
          <a:extLst>
            <a:ext uri="{FF2B5EF4-FFF2-40B4-BE49-F238E27FC236}">
              <a16:creationId xmlns:a16="http://schemas.microsoft.com/office/drawing/2014/main" id="{E91B87F4-F4D9-4F31-18A6-35B7DD2FC451}"/>
            </a:ext>
          </a:extLst>
        </xdr:cNvPr>
        <xdr:cNvPicPr>
          <a:picLocks noChangeAspect="1"/>
        </xdr:cNvPicPr>
      </xdr:nvPicPr>
      <xdr:blipFill>
        <a:blip xmlns:r="http://schemas.openxmlformats.org/officeDocument/2006/relationships" r:embed="rId1"/>
        <a:stretch>
          <a:fillRect/>
        </a:stretch>
      </xdr:blipFill>
      <xdr:spPr>
        <a:xfrm>
          <a:off x="9553575" y="361950"/>
          <a:ext cx="12438095" cy="7885714"/>
        </a:xfrm>
        <a:prstGeom prst="rect">
          <a:avLst/>
        </a:prstGeom>
      </xdr:spPr>
    </xdr:pic>
    <xdr:clientData/>
  </xdr:twoCellAnchor>
  <xdr:twoCellAnchor editAs="oneCell">
    <xdr:from>
      <xdr:col>9</xdr:col>
      <xdr:colOff>0</xdr:colOff>
      <xdr:row>49</xdr:row>
      <xdr:rowOff>0</xdr:rowOff>
    </xdr:from>
    <xdr:to>
      <xdr:col>23</xdr:col>
      <xdr:colOff>286277</xdr:colOff>
      <xdr:row>76</xdr:row>
      <xdr:rowOff>28876</xdr:rowOff>
    </xdr:to>
    <xdr:pic>
      <xdr:nvPicPr>
        <xdr:cNvPr id="4" name="Picture 3">
          <a:extLst>
            <a:ext uri="{FF2B5EF4-FFF2-40B4-BE49-F238E27FC236}">
              <a16:creationId xmlns:a16="http://schemas.microsoft.com/office/drawing/2014/main" id="{D5BF5891-149B-A92D-9027-13F06625AFCE}"/>
            </a:ext>
          </a:extLst>
        </xdr:cNvPr>
        <xdr:cNvPicPr>
          <a:picLocks noChangeAspect="1"/>
        </xdr:cNvPicPr>
      </xdr:nvPicPr>
      <xdr:blipFill>
        <a:blip xmlns:r="http://schemas.openxmlformats.org/officeDocument/2006/relationships" r:embed="rId2"/>
        <a:stretch>
          <a:fillRect/>
        </a:stretch>
      </xdr:blipFill>
      <xdr:spPr>
        <a:xfrm>
          <a:off x="10208559" y="8505265"/>
          <a:ext cx="9228571" cy="5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552449</xdr:colOff>
      <xdr:row>2</xdr:row>
      <xdr:rowOff>133350</xdr:rowOff>
    </xdr:from>
    <xdr:to>
      <xdr:col>17</xdr:col>
      <xdr:colOff>523873</xdr:colOff>
      <xdr:row>29</xdr:row>
      <xdr:rowOff>103200</xdr:rowOff>
    </xdr:to>
    <xdr:pic>
      <xdr:nvPicPr>
        <xdr:cNvPr id="4" name="Picture 3">
          <a:extLst>
            <a:ext uri="{FF2B5EF4-FFF2-40B4-BE49-F238E27FC236}">
              <a16:creationId xmlns:a16="http://schemas.microsoft.com/office/drawing/2014/main" id="{4886515A-260F-DEF8-270F-42ECBB7E81AB}"/>
            </a:ext>
          </a:extLst>
        </xdr:cNvPr>
        <xdr:cNvPicPr>
          <a:picLocks noChangeAspect="1"/>
        </xdr:cNvPicPr>
      </xdr:nvPicPr>
      <xdr:blipFill>
        <a:blip xmlns:r="http://schemas.openxmlformats.org/officeDocument/2006/relationships" r:embed="rId1"/>
        <a:stretch>
          <a:fillRect/>
        </a:stretch>
      </xdr:blipFill>
      <xdr:spPr>
        <a:xfrm>
          <a:off x="8048624" y="314325"/>
          <a:ext cx="5076825" cy="5439605"/>
        </a:xfrm>
        <a:prstGeom prst="rect">
          <a:avLst/>
        </a:prstGeom>
      </xdr:spPr>
    </xdr:pic>
    <xdr:clientData/>
  </xdr:twoCellAnchor>
  <xdr:twoCellAnchor editAs="oneCell">
    <xdr:from>
      <xdr:col>9</xdr:col>
      <xdr:colOff>443346</xdr:colOff>
      <xdr:row>32</xdr:row>
      <xdr:rowOff>0</xdr:rowOff>
    </xdr:from>
    <xdr:to>
      <xdr:col>18</xdr:col>
      <xdr:colOff>426620</xdr:colOff>
      <xdr:row>54</xdr:row>
      <xdr:rowOff>82263</xdr:rowOff>
    </xdr:to>
    <xdr:pic>
      <xdr:nvPicPr>
        <xdr:cNvPr id="5" name="Picture 4">
          <a:extLst>
            <a:ext uri="{FF2B5EF4-FFF2-40B4-BE49-F238E27FC236}">
              <a16:creationId xmlns:a16="http://schemas.microsoft.com/office/drawing/2014/main" id="{F18EEFF5-99C1-CD7E-061F-1823F0E7788C}"/>
            </a:ext>
          </a:extLst>
        </xdr:cNvPr>
        <xdr:cNvPicPr>
          <a:picLocks noChangeAspect="1"/>
        </xdr:cNvPicPr>
      </xdr:nvPicPr>
      <xdr:blipFill>
        <a:blip xmlns:r="http://schemas.openxmlformats.org/officeDocument/2006/relationships" r:embed="rId2"/>
        <a:stretch>
          <a:fillRect/>
        </a:stretch>
      </xdr:blipFill>
      <xdr:spPr>
        <a:xfrm>
          <a:off x="9490364" y="6899564"/>
          <a:ext cx="5719056" cy="42524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16</xdr:row>
      <xdr:rowOff>0</xdr:rowOff>
    </xdr:from>
    <xdr:to>
      <xdr:col>20</xdr:col>
      <xdr:colOff>589678</xdr:colOff>
      <xdr:row>41</xdr:row>
      <xdr:rowOff>165412</xdr:rowOff>
    </xdr:to>
    <xdr:pic>
      <xdr:nvPicPr>
        <xdr:cNvPr id="2" name="Picture 1">
          <a:extLst>
            <a:ext uri="{FF2B5EF4-FFF2-40B4-BE49-F238E27FC236}">
              <a16:creationId xmlns:a16="http://schemas.microsoft.com/office/drawing/2014/main" id="{09D1D9CD-40CC-42BB-50F7-3DD6C4094C05}"/>
            </a:ext>
          </a:extLst>
        </xdr:cNvPr>
        <xdr:cNvPicPr>
          <a:picLocks noChangeAspect="1"/>
        </xdr:cNvPicPr>
      </xdr:nvPicPr>
      <xdr:blipFill>
        <a:blip xmlns:r="http://schemas.openxmlformats.org/officeDocument/2006/relationships" r:embed="rId1"/>
        <a:stretch>
          <a:fillRect/>
        </a:stretch>
      </xdr:blipFill>
      <xdr:spPr>
        <a:xfrm>
          <a:off x="10382250" y="2476500"/>
          <a:ext cx="6971428" cy="4761905"/>
        </a:xfrm>
        <a:prstGeom prst="rect">
          <a:avLst/>
        </a:prstGeom>
      </xdr:spPr>
    </xdr:pic>
    <xdr:clientData/>
  </xdr:twoCellAnchor>
  <xdr:twoCellAnchor editAs="oneCell">
    <xdr:from>
      <xdr:col>10</xdr:col>
      <xdr:colOff>0</xdr:colOff>
      <xdr:row>41</xdr:row>
      <xdr:rowOff>0</xdr:rowOff>
    </xdr:from>
    <xdr:to>
      <xdr:col>19</xdr:col>
      <xdr:colOff>580234</xdr:colOff>
      <xdr:row>66</xdr:row>
      <xdr:rowOff>161325</xdr:rowOff>
    </xdr:to>
    <xdr:pic>
      <xdr:nvPicPr>
        <xdr:cNvPr id="3" name="Picture 2">
          <a:extLst>
            <a:ext uri="{FF2B5EF4-FFF2-40B4-BE49-F238E27FC236}">
              <a16:creationId xmlns:a16="http://schemas.microsoft.com/office/drawing/2014/main" id="{326E66E9-CF86-CC8E-D371-B0233C856F92}"/>
            </a:ext>
          </a:extLst>
        </xdr:cNvPr>
        <xdr:cNvPicPr>
          <a:picLocks noChangeAspect="1"/>
        </xdr:cNvPicPr>
      </xdr:nvPicPr>
      <xdr:blipFill>
        <a:blip xmlns:r="http://schemas.openxmlformats.org/officeDocument/2006/relationships" r:embed="rId2"/>
        <a:stretch>
          <a:fillRect/>
        </a:stretch>
      </xdr:blipFill>
      <xdr:spPr>
        <a:xfrm>
          <a:off x="10382250" y="7362825"/>
          <a:ext cx="6323809" cy="48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15240</xdr:colOff>
      <xdr:row>5</xdr:row>
      <xdr:rowOff>87630</xdr:rowOff>
    </xdr:from>
    <xdr:to>
      <xdr:col>27</xdr:col>
      <xdr:colOff>348963</xdr:colOff>
      <xdr:row>46</xdr:row>
      <xdr:rowOff>162875</xdr:rowOff>
    </xdr:to>
    <xdr:pic>
      <xdr:nvPicPr>
        <xdr:cNvPr id="2" name="Picture 1">
          <a:extLst>
            <a:ext uri="{FF2B5EF4-FFF2-40B4-BE49-F238E27FC236}">
              <a16:creationId xmlns:a16="http://schemas.microsoft.com/office/drawing/2014/main" id="{62C1834E-129D-F513-F472-1404C77D0AEA}"/>
            </a:ext>
          </a:extLst>
        </xdr:cNvPr>
        <xdr:cNvPicPr>
          <a:picLocks noChangeAspect="1"/>
        </xdr:cNvPicPr>
      </xdr:nvPicPr>
      <xdr:blipFill>
        <a:blip xmlns:r="http://schemas.openxmlformats.org/officeDocument/2006/relationships" r:embed="rId1"/>
        <a:stretch>
          <a:fillRect/>
        </a:stretch>
      </xdr:blipFill>
      <xdr:spPr>
        <a:xfrm>
          <a:off x="9517380" y="746760"/>
          <a:ext cx="12495243" cy="7676195"/>
        </a:xfrm>
        <a:prstGeom prst="rect">
          <a:avLst/>
        </a:prstGeom>
      </xdr:spPr>
    </xdr:pic>
    <xdr:clientData/>
  </xdr:twoCellAnchor>
  <xdr:twoCellAnchor editAs="oneCell">
    <xdr:from>
      <xdr:col>8</xdr:col>
      <xdr:colOff>579120</xdr:colOff>
      <xdr:row>48</xdr:row>
      <xdr:rowOff>118110</xdr:rowOff>
    </xdr:from>
    <xdr:to>
      <xdr:col>23</xdr:col>
      <xdr:colOff>242685</xdr:colOff>
      <xdr:row>75</xdr:row>
      <xdr:rowOff>126192</xdr:rowOff>
    </xdr:to>
    <xdr:pic>
      <xdr:nvPicPr>
        <xdr:cNvPr id="3" name="Picture 2">
          <a:extLst>
            <a:ext uri="{FF2B5EF4-FFF2-40B4-BE49-F238E27FC236}">
              <a16:creationId xmlns:a16="http://schemas.microsoft.com/office/drawing/2014/main" id="{E58C9179-EA51-C57A-FC5A-0848BB4CCE8B}"/>
            </a:ext>
          </a:extLst>
        </xdr:cNvPr>
        <xdr:cNvPicPr>
          <a:picLocks noChangeAspect="1"/>
        </xdr:cNvPicPr>
      </xdr:nvPicPr>
      <xdr:blipFill>
        <a:blip xmlns:r="http://schemas.openxmlformats.org/officeDocument/2006/relationships" r:embed="rId2"/>
        <a:stretch>
          <a:fillRect/>
        </a:stretch>
      </xdr:blipFill>
      <xdr:spPr>
        <a:xfrm>
          <a:off x="10081260" y="8667750"/>
          <a:ext cx="9264765" cy="50438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ALC/4%20-%20Model%20Versions/Initial/Copy%20of%20Copy%20of%20WaTER%20-%20Program%20-%202024%20v1%20-%20EC.xls" TargetMode="External"/><Relationship Id="rId2" Type="http://schemas.openxmlformats.org/officeDocument/2006/relationships/externalLinkPath" Target="file:///T:\Jobs\DO\_NonFeature\Science%20and%20Technology\2017-PRG-WaTER%20Model%20Updates\CALC\4%20-%20Model%20Versions\Initial\Copy%20of%20Copy%20of%20WaTER%20-%20Program%20-%202024%20v1%20-%20EC.xls" TargetMode="External"/><Relationship Id="rId1" Type="http://schemas.openxmlformats.org/officeDocument/2006/relationships/externalLinkPath" Target="/Jobs/DO/_NonFeature/Science%20and%20Technology/2017-PRG-WaTER%20Model%20Updates/CALC/4%20-%20Model%20Versions/Initial/Copy%20of%20Copy%20of%20WaTER%20-%20Program%20-%202024%20v1%20-%20EC.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ALC/4%20-%20Model%20Versions/S&amp;T%20Model%20Runs/WaTER%20-%20Program%20-%20Case%203-EC.xls" TargetMode="External"/><Relationship Id="rId2" Type="http://schemas.openxmlformats.org/officeDocument/2006/relationships/externalLinkPath" Target="file:///T:\Jobs\DO\_NonFeature\Science%20and%20Technology\2017-PRG-WaTER%20Model%20Updates\CALC\4%20-%20Model%20Versions\S&amp;T%20Model%20Runs\WaTER%20-%20Program%20-%20Case%203-EC.xls" TargetMode="External"/><Relationship Id="rId1" Type="http://schemas.openxmlformats.org/officeDocument/2006/relationships/externalLinkPath" Target="/Jobs/DO/_NonFeature/Science%20and%20Technology/2017-PRG-WaTER%20Model%20Updates/CALC/4%20-%20Model%20Versions/S&amp;T%20Model%20Runs/WaTER%20-%20Program%20-%20Case%203-EC.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CALC/4%20-%20Model%20Versions/Initial/Copy%20of%20WaTER%20-%20Program%20-%202024%20v1%20-%20Basecase%20EDR.xls" TargetMode="External"/><Relationship Id="rId2" Type="http://schemas.openxmlformats.org/officeDocument/2006/relationships/externalLinkPath" Target="file:///T:\Jobs\DO\_NonFeature\Science%20and%20Technology\2017-PRG-WaTER%20Model%20Updates\CALC\4%20-%20Model%20Versions\Initial\Copy%20of%20WaTER%20-%20Program%20-%202024%20v1%20-%20Basecase%20EDR.xls" TargetMode="External"/><Relationship Id="rId1" Type="http://schemas.openxmlformats.org/officeDocument/2006/relationships/externalLinkPath" Target="/Jobs/DO/_NonFeature/Science%20and%20Technology/2017-PRG-WaTER%20Model%20Updates/CALC/4%20-%20Model%20Versions/Initial/Copy%20of%20WaTER%20-%20Program%20-%202024%20v1%20-%20Basecase%20ED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Key &amp; Notes"/>
      <sheetName val="Components"/>
      <sheetName val="Warnings"/>
      <sheetName val="References"/>
      <sheetName val="{a}Project &amp; Stage Info"/>
      <sheetName val="{b}Capacity"/>
      <sheetName val="{c}H20 Analysis"/>
      <sheetName val="{d}Cost Index"/>
      <sheetName val="{e}Report"/>
      <sheetName val="{f}RO&amp;NF Input"/>
      <sheetName val="{g}RO&amp;NF Output"/>
      <sheetName val="{h}CO2g"/>
      <sheetName val="{i}Acid"/>
      <sheetName val="{j}IronCoag"/>
      <sheetName val="{k}Alum"/>
      <sheetName val="{L}PACl"/>
      <sheetName val="{m}De-Cl2"/>
      <sheetName val="{n}CL2"/>
      <sheetName val="{o}NHCL"/>
      <sheetName val="{p} Ozone"/>
      <sheetName val="{q}LimeFeed"/>
      <sheetName val="{r}Antiscalent"/>
      <sheetName val="{s}PolyElectrolyte"/>
      <sheetName val="{t}KMnO4"/>
      <sheetName val="{u}GAC"/>
      <sheetName val="{v}Clearwell"/>
      <sheetName val="{w}GravityFilt"/>
      <sheetName val="{x}UFSCC"/>
      <sheetName val="{y}IX "/>
      <sheetName val="{z}MF-P Input"/>
      <sheetName val="{aa}MF-P Output"/>
      <sheetName val="{bb}Rejection"/>
      <sheetName val="{cc}ConcOutfall"/>
      <sheetName val="{dd}IonicsED"/>
      <sheetName val="{ee}ED2"/>
      <sheetName val="{ff}Pumps"/>
      <sheetName val="{gg}StdAnalyses"/>
      <sheetName val="{hh}S&amp;DSI"/>
      <sheetName val="{ii}LSI"/>
      <sheetName val="{jj}Stiff&amp;Davis"/>
      <sheetName val="{kk} UV"/>
      <sheetName val="{ll} Tanks"/>
      <sheetName val="{mm} MF-UF cost curve"/>
      <sheetName val="{nn} Electrocoag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0">
          <cell r="B10">
            <v>13175.03</v>
          </cell>
        </row>
        <row r="24">
          <cell r="B24">
            <v>6</v>
          </cell>
        </row>
        <row r="25">
          <cell r="B25">
            <v>30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Key &amp; Notes"/>
      <sheetName val="Components"/>
      <sheetName val="Warnings"/>
      <sheetName val="References"/>
      <sheetName val="{a}Project &amp; Stage Info"/>
      <sheetName val="{b}Capacity"/>
      <sheetName val="{c}H20 Analysis"/>
      <sheetName val="{d}Cost Index"/>
      <sheetName val="{e}Report"/>
      <sheetName val="{f}RO&amp;NF Input"/>
      <sheetName val="{g}RO&amp;NF Output"/>
      <sheetName val="{h}CO2g"/>
      <sheetName val="{i}Acid"/>
      <sheetName val="{j}IronCoag"/>
      <sheetName val="{k}Alum"/>
      <sheetName val="{L}PACl"/>
      <sheetName val="{m}De-Cl2"/>
      <sheetName val="{n}CL2"/>
      <sheetName val="{o}NHCL"/>
      <sheetName val="{p} Ozone"/>
      <sheetName val="{q}LimeFeed"/>
      <sheetName val="{r}Antiscalent"/>
      <sheetName val="{s}PolyElectrolyte"/>
      <sheetName val="{t}KMnO4"/>
      <sheetName val="{u}GAC"/>
      <sheetName val="{v}Clearwell"/>
      <sheetName val="{w}GravityFilt"/>
      <sheetName val="{x}UFSCC"/>
      <sheetName val="{y}IX "/>
      <sheetName val="{z}MF-P Input"/>
      <sheetName val="{aa}MF-P Output"/>
      <sheetName val="{bb}Rejection"/>
      <sheetName val="{cc}ConcOutfall"/>
      <sheetName val="{dd}IonicsED"/>
      <sheetName val="{ee}ED2"/>
      <sheetName val="{ff}Pumps"/>
      <sheetName val="{gg}StdAnalyses"/>
      <sheetName val="{hh}S&amp;DSI"/>
      <sheetName val="{ii}LSI"/>
      <sheetName val="{jj}Stiff&amp;Davis"/>
      <sheetName val="{kk} UV"/>
      <sheetName val="{ll} Tanks"/>
      <sheetName val="{mm} MF-UF cost curve"/>
      <sheetName val="{nn} Electrocoagulation"/>
    </sheetNames>
    <sheetDataSet>
      <sheetData sheetId="0"/>
      <sheetData sheetId="1"/>
      <sheetData sheetId="2"/>
      <sheetData sheetId="3"/>
      <sheetData sheetId="4"/>
      <sheetData sheetId="5"/>
      <sheetData sheetId="6"/>
      <sheetData sheetId="7"/>
      <sheetData sheetId="8">
        <row r="11">
          <cell r="B11">
            <v>39.950000000000003</v>
          </cell>
        </row>
        <row r="21">
          <cell r="B21">
            <v>6.3899999999999998E-2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Key &amp; Notes"/>
      <sheetName val="Components"/>
      <sheetName val="Warnings"/>
      <sheetName val="References"/>
      <sheetName val="{a}Project &amp; Stage Info"/>
      <sheetName val="{b}Capacity"/>
      <sheetName val="{c}H20 Analysis"/>
      <sheetName val="{d}Cost Index"/>
      <sheetName val="{e}Report"/>
      <sheetName val="{f}RO&amp;NF Input"/>
      <sheetName val="{g}RO&amp;NF Output"/>
      <sheetName val="{h}CO2g"/>
      <sheetName val="{i}Acid"/>
      <sheetName val="{j}IronCoag"/>
      <sheetName val="{k}Alum"/>
      <sheetName val="{L}PACl"/>
      <sheetName val="{m}De-Cl2"/>
      <sheetName val="{n}CL2"/>
      <sheetName val="{o}NHCL"/>
      <sheetName val="{p} Ozone"/>
      <sheetName val="{q}LimeFeed"/>
      <sheetName val="{r}Antiscalent"/>
      <sheetName val="{s}PolyElectrolyte"/>
      <sheetName val="{t}KMnO4"/>
      <sheetName val="{u}GAC"/>
      <sheetName val="{v}Clearwell"/>
      <sheetName val="{w}GravityFilt"/>
      <sheetName val="{x}UFSCC"/>
      <sheetName val="{y}IX "/>
      <sheetName val="{z}MF-P Input"/>
      <sheetName val="{aa}MF-P Output"/>
      <sheetName val="{bb}Rejection"/>
      <sheetName val="{cc}ConcOutfall"/>
      <sheetName val="{dd}IonicsED"/>
      <sheetName val="{ee}ED2"/>
      <sheetName val="{ff}Pumps"/>
      <sheetName val="{gg}StdAnalyses"/>
      <sheetName val="{hh}S&amp;DSI"/>
      <sheetName val="{ii}LSI"/>
      <sheetName val="{jj}Stiff&amp;Davis"/>
      <sheetName val="{kk} UV"/>
      <sheetName val="{ll} Tanks"/>
      <sheetName val="{mm} MF-UF cost curve"/>
      <sheetName val="{nn} Electrocoagulatio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8">
          <cell r="B8">
            <v>44927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A8765-EB8F-4296-B8AB-8022A859A5C0}">
  <dimension ref="B2:C6"/>
  <sheetViews>
    <sheetView tabSelected="1" workbookViewId="0">
      <selection activeCell="F3" sqref="F3"/>
    </sheetView>
  </sheetViews>
  <sheetFormatPr defaultRowHeight="15" x14ac:dyDescent="0.25"/>
  <cols>
    <col min="2" max="2" width="27.42578125" customWidth="1"/>
    <col min="3" max="3" width="42.140625" customWidth="1"/>
  </cols>
  <sheetData>
    <row r="2" spans="2:3" ht="30" x14ac:dyDescent="0.25">
      <c r="B2" s="269" t="s">
        <v>559</v>
      </c>
      <c r="C2" s="270" t="s">
        <v>560</v>
      </c>
    </row>
    <row r="3" spans="2:3" ht="375" x14ac:dyDescent="0.25">
      <c r="B3" s="269" t="s">
        <v>561</v>
      </c>
      <c r="C3" s="270" t="s">
        <v>567</v>
      </c>
    </row>
    <row r="4" spans="2:3" x14ac:dyDescent="0.25">
      <c r="B4" s="269" t="s">
        <v>562</v>
      </c>
      <c r="C4" s="270" t="s">
        <v>563</v>
      </c>
    </row>
    <row r="5" spans="2:3" x14ac:dyDescent="0.25">
      <c r="B5" s="269" t="s">
        <v>564</v>
      </c>
      <c r="C5" s="270" t="s">
        <v>565</v>
      </c>
    </row>
    <row r="6" spans="2:3" x14ac:dyDescent="0.25">
      <c r="B6" s="269" t="s">
        <v>566</v>
      </c>
      <c r="C6" s="271">
        <v>46148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C9270-923A-426D-99CA-7E680F6C8D9D}">
  <dimension ref="A1:I92"/>
  <sheetViews>
    <sheetView zoomScale="55" zoomScaleNormal="55" workbookViewId="0">
      <selection activeCell="C6" sqref="C6:E6"/>
    </sheetView>
  </sheetViews>
  <sheetFormatPr defaultRowHeight="15" x14ac:dyDescent="0.25"/>
  <cols>
    <col min="3" max="3" width="27.85546875" bestFit="1" customWidth="1"/>
    <col min="4" max="4" width="13.140625" bestFit="1" customWidth="1"/>
    <col min="6" max="6" width="49.5703125" bestFit="1" customWidth="1"/>
  </cols>
  <sheetData>
    <row r="1" spans="1:6" ht="45" x14ac:dyDescent="0.25">
      <c r="A1" s="252" t="s">
        <v>496</v>
      </c>
      <c r="B1" s="277" t="s">
        <v>520</v>
      </c>
      <c r="C1" s="277"/>
      <c r="D1" s="277"/>
      <c r="E1" s="277"/>
    </row>
    <row r="3" spans="1:6" ht="23.25" x14ac:dyDescent="0.35">
      <c r="B3" s="249" t="s">
        <v>523</v>
      </c>
    </row>
    <row r="4" spans="1:6" ht="23.25" x14ac:dyDescent="0.35">
      <c r="B4" s="249"/>
    </row>
    <row r="5" spans="1:6" ht="21" x14ac:dyDescent="0.35">
      <c r="B5" s="248" t="s">
        <v>498</v>
      </c>
      <c r="D5" t="s">
        <v>505</v>
      </c>
    </row>
    <row r="6" spans="1:6" x14ac:dyDescent="0.25">
      <c r="C6" s="286" t="s">
        <v>127</v>
      </c>
      <c r="D6" s="287"/>
      <c r="E6" s="288"/>
    </row>
    <row r="7" spans="1:6" x14ac:dyDescent="0.25">
      <c r="C7" s="26"/>
      <c r="D7" s="26" t="s">
        <v>38</v>
      </c>
      <c r="E7" s="26" t="s">
        <v>126</v>
      </c>
    </row>
    <row r="8" spans="1:6" x14ac:dyDescent="0.25">
      <c r="C8" s="11" t="s">
        <v>124</v>
      </c>
      <c r="D8" s="23">
        <f>'Case 2 MF-NF Cost Summary'!D7</f>
        <v>1.8726591760299625</v>
      </c>
      <c r="E8" s="23">
        <f>'Case 2 MF-NF Cost Summary'!E7</f>
        <v>1.6853932584269662</v>
      </c>
    </row>
    <row r="9" spans="1:6" x14ac:dyDescent="0.25">
      <c r="C9" s="11" t="s">
        <v>125</v>
      </c>
      <c r="D9" s="23">
        <f>'Case 2 MF-NF Cost Summary'!F7</f>
        <v>2.8714107365792754</v>
      </c>
      <c r="E9" s="23">
        <f>'Case 2 MF-NF Cost Summary'!G7</f>
        <v>2.584269662921348</v>
      </c>
    </row>
    <row r="10" spans="1:6" ht="18.75" x14ac:dyDescent="0.3">
      <c r="C10" s="247"/>
    </row>
    <row r="11" spans="1:6" ht="18.75" x14ac:dyDescent="0.3">
      <c r="B11" s="247" t="s">
        <v>503</v>
      </c>
    </row>
    <row r="12" spans="1:6" ht="18.75" x14ac:dyDescent="0.3">
      <c r="B12" s="247"/>
      <c r="C12" s="245" t="s">
        <v>0</v>
      </c>
      <c r="D12" s="245" t="s">
        <v>1</v>
      </c>
      <c r="E12" s="245" t="s">
        <v>74</v>
      </c>
      <c r="F12" s="245" t="s">
        <v>492</v>
      </c>
    </row>
    <row r="13" spans="1:6" x14ac:dyDescent="0.25">
      <c r="C13" s="11" t="s">
        <v>396</v>
      </c>
      <c r="D13" s="202">
        <v>1833093.1</v>
      </c>
      <c r="E13" s="11" t="s">
        <v>398</v>
      </c>
      <c r="F13" s="11" t="s">
        <v>436</v>
      </c>
    </row>
    <row r="14" spans="1:6" x14ac:dyDescent="0.25">
      <c r="C14" s="11" t="s">
        <v>400</v>
      </c>
      <c r="D14" s="11">
        <f>'WAVE IO'!D18</f>
        <v>2</v>
      </c>
      <c r="E14" s="11"/>
      <c r="F14" s="11" t="s">
        <v>399</v>
      </c>
    </row>
    <row r="15" spans="1:6" x14ac:dyDescent="0.25">
      <c r="C15" s="11" t="s">
        <v>401</v>
      </c>
      <c r="D15" s="11">
        <v>42</v>
      </c>
      <c r="E15" s="11"/>
      <c r="F15" s="11" t="s">
        <v>399</v>
      </c>
    </row>
    <row r="16" spans="1:6" x14ac:dyDescent="0.25">
      <c r="C16" s="11" t="s">
        <v>432</v>
      </c>
      <c r="D16" s="11">
        <f>D14*D15</f>
        <v>84</v>
      </c>
      <c r="E16" s="11"/>
      <c r="F16" s="11" t="s">
        <v>399</v>
      </c>
    </row>
    <row r="17" spans="2:8" x14ac:dyDescent="0.25">
      <c r="C17" s="11" t="s">
        <v>433</v>
      </c>
      <c r="D17" s="24">
        <f>D13/D16</f>
        <v>21822.536904761906</v>
      </c>
      <c r="E17" s="11" t="s">
        <v>398</v>
      </c>
      <c r="F17" s="11" t="s">
        <v>418</v>
      </c>
    </row>
    <row r="18" spans="2:8" x14ac:dyDescent="0.25">
      <c r="C18" s="11" t="s">
        <v>434</v>
      </c>
      <c r="D18" s="24">
        <f>D17/24/60</f>
        <v>15.154539517195767</v>
      </c>
      <c r="E18" s="11" t="s">
        <v>390</v>
      </c>
      <c r="F18" s="11" t="s">
        <v>418</v>
      </c>
      <c r="H18" s="180"/>
    </row>
    <row r="19" spans="2:8" x14ac:dyDescent="0.25">
      <c r="C19" s="11" t="s">
        <v>366</v>
      </c>
      <c r="D19" s="24">
        <f>D18*D15</f>
        <v>636.49065972222218</v>
      </c>
      <c r="E19" s="11" t="s">
        <v>390</v>
      </c>
      <c r="F19" s="11" t="s">
        <v>418</v>
      </c>
    </row>
    <row r="20" spans="2:8" x14ac:dyDescent="0.25">
      <c r="C20" s="203" t="s">
        <v>353</v>
      </c>
      <c r="D20" s="11">
        <v>100</v>
      </c>
      <c r="E20" s="11" t="s">
        <v>292</v>
      </c>
      <c r="F20" s="11" t="s">
        <v>399</v>
      </c>
    </row>
    <row r="21" spans="2:8" x14ac:dyDescent="0.25">
      <c r="C21" s="203" t="s">
        <v>429</v>
      </c>
      <c r="D21" s="11">
        <v>77</v>
      </c>
      <c r="E21" s="11" t="s">
        <v>47</v>
      </c>
      <c r="F21" s="11" t="s">
        <v>428</v>
      </c>
    </row>
    <row r="22" spans="2:8" x14ac:dyDescent="0.25">
      <c r="C22" s="11" t="s">
        <v>430</v>
      </c>
      <c r="D22" s="11">
        <f>D21*D15</f>
        <v>3234</v>
      </c>
      <c r="E22" s="11" t="s">
        <v>47</v>
      </c>
      <c r="F22" s="11"/>
    </row>
    <row r="23" spans="2:8" x14ac:dyDescent="0.25">
      <c r="C23" s="11" t="s">
        <v>435</v>
      </c>
      <c r="D23" s="24">
        <f>D20*D22/277.125</f>
        <v>1166.9824086603519</v>
      </c>
      <c r="E23" s="11" t="s">
        <v>390</v>
      </c>
      <c r="F23" s="11"/>
    </row>
    <row r="25" spans="2:8" ht="21" x14ac:dyDescent="0.35">
      <c r="B25" s="248" t="s">
        <v>509</v>
      </c>
      <c r="D25" t="s">
        <v>499</v>
      </c>
      <c r="E25" t="s">
        <v>508</v>
      </c>
    </row>
    <row r="26" spans="2:8" x14ac:dyDescent="0.25">
      <c r="C26" s="246" t="s">
        <v>420</v>
      </c>
    </row>
    <row r="27" spans="2:8" x14ac:dyDescent="0.25">
      <c r="C27" s="11" t="s">
        <v>0</v>
      </c>
      <c r="D27" s="11" t="s">
        <v>1</v>
      </c>
      <c r="E27" s="11" t="s">
        <v>74</v>
      </c>
      <c r="F27" s="11" t="s">
        <v>69</v>
      </c>
    </row>
    <row r="28" spans="2:8" x14ac:dyDescent="0.25">
      <c r="C28" s="105" t="s">
        <v>363</v>
      </c>
      <c r="D28" s="155">
        <v>211500</v>
      </c>
      <c r="E28" s="11"/>
      <c r="F28" s="105" t="s">
        <v>395</v>
      </c>
    </row>
    <row r="29" spans="2:8" x14ac:dyDescent="0.25">
      <c r="C29" s="105" t="s">
        <v>364</v>
      </c>
      <c r="D29" s="156">
        <v>1100</v>
      </c>
      <c r="E29" s="11"/>
      <c r="F29" s="105" t="s">
        <v>397</v>
      </c>
    </row>
    <row r="30" spans="2:8" x14ac:dyDescent="0.25">
      <c r="C30" s="105" t="s">
        <v>365</v>
      </c>
      <c r="D30" s="157">
        <f>D19</f>
        <v>636.49065972222218</v>
      </c>
      <c r="E30" s="105" t="s">
        <v>390</v>
      </c>
      <c r="F30" s="11" t="s">
        <v>402</v>
      </c>
    </row>
    <row r="31" spans="2:8" x14ac:dyDescent="0.25">
      <c r="C31" s="105" t="s">
        <v>366</v>
      </c>
      <c r="D31" s="158">
        <f>D18</f>
        <v>15.154539517195767</v>
      </c>
      <c r="E31" s="105" t="s">
        <v>390</v>
      </c>
      <c r="F31" s="11" t="s">
        <v>402</v>
      </c>
    </row>
    <row r="32" spans="2:8" x14ac:dyDescent="0.25">
      <c r="C32" s="105" t="s">
        <v>367</v>
      </c>
      <c r="D32" s="159">
        <f>D15</f>
        <v>42</v>
      </c>
      <c r="E32" s="105"/>
      <c r="F32" s="11" t="s">
        <v>403</v>
      </c>
    </row>
    <row r="33" spans="3:6" x14ac:dyDescent="0.25">
      <c r="C33" s="105" t="s">
        <v>368</v>
      </c>
      <c r="D33" s="159">
        <v>80</v>
      </c>
      <c r="E33" s="105" t="s">
        <v>59</v>
      </c>
      <c r="F33" s="11" t="s">
        <v>404</v>
      </c>
    </row>
    <row r="34" spans="3:6" x14ac:dyDescent="0.25">
      <c r="C34" s="105" t="s">
        <v>369</v>
      </c>
      <c r="D34" s="159">
        <v>93</v>
      </c>
      <c r="E34" s="105" t="s">
        <v>59</v>
      </c>
      <c r="F34" s="11" t="s">
        <v>405</v>
      </c>
    </row>
    <row r="35" spans="3:6" x14ac:dyDescent="0.25">
      <c r="C35" s="105" t="s">
        <v>370</v>
      </c>
      <c r="D35" s="160">
        <v>30</v>
      </c>
      <c r="E35" s="105" t="s">
        <v>391</v>
      </c>
      <c r="F35" s="11" t="s">
        <v>403</v>
      </c>
    </row>
    <row r="36" spans="3:6" x14ac:dyDescent="0.25">
      <c r="C36" s="105" t="s">
        <v>371</v>
      </c>
      <c r="D36" s="160">
        <v>30</v>
      </c>
      <c r="E36" s="105" t="s">
        <v>391</v>
      </c>
      <c r="F36" s="11" t="s">
        <v>403</v>
      </c>
    </row>
    <row r="37" spans="3:6" x14ac:dyDescent="0.25">
      <c r="C37" s="105" t="s">
        <v>372</v>
      </c>
      <c r="D37" s="161">
        <f>D23</f>
        <v>1166.9824086603519</v>
      </c>
      <c r="E37" s="105" t="s">
        <v>390</v>
      </c>
      <c r="F37" s="11" t="s">
        <v>406</v>
      </c>
    </row>
    <row r="38" spans="3:6" x14ac:dyDescent="0.25">
      <c r="C38" s="105" t="s">
        <v>373</v>
      </c>
      <c r="D38" s="160">
        <v>60</v>
      </c>
      <c r="E38" s="105" t="s">
        <v>392</v>
      </c>
      <c r="F38" s="11" t="s">
        <v>407</v>
      </c>
    </row>
    <row r="39" spans="3:6" x14ac:dyDescent="0.25">
      <c r="C39" s="105" t="s">
        <v>374</v>
      </c>
      <c r="D39" s="160">
        <v>4.3</v>
      </c>
      <c r="E39" s="105" t="s">
        <v>392</v>
      </c>
      <c r="F39" s="11" t="s">
        <v>408</v>
      </c>
    </row>
    <row r="40" spans="3:6" x14ac:dyDescent="0.25">
      <c r="C40" s="105" t="s">
        <v>375</v>
      </c>
      <c r="D40" s="162">
        <f>'WAVE IO'!D10</f>
        <v>0.37692307692307692</v>
      </c>
      <c r="E40" s="105" t="s">
        <v>393</v>
      </c>
      <c r="F40" s="11" t="s">
        <v>416</v>
      </c>
    </row>
    <row r="41" spans="3:6" x14ac:dyDescent="0.25">
      <c r="C41" s="105" t="s">
        <v>376</v>
      </c>
      <c r="D41" s="163">
        <v>300</v>
      </c>
      <c r="E41" s="105" t="s">
        <v>142</v>
      </c>
      <c r="F41" s="11" t="s">
        <v>417</v>
      </c>
    </row>
    <row r="42" spans="3:6" x14ac:dyDescent="0.25">
      <c r="C42" s="105" t="s">
        <v>377</v>
      </c>
      <c r="D42" s="163">
        <v>1.1679999999999999</v>
      </c>
      <c r="E42" s="105"/>
      <c r="F42" s="11"/>
    </row>
    <row r="43" spans="3:6" x14ac:dyDescent="0.25">
      <c r="C43" s="105" t="s">
        <v>378</v>
      </c>
      <c r="D43" s="163">
        <v>12</v>
      </c>
      <c r="E43" s="105" t="s">
        <v>59</v>
      </c>
      <c r="F43" s="11" t="s">
        <v>409</v>
      </c>
    </row>
    <row r="44" spans="3:6" x14ac:dyDescent="0.25">
      <c r="C44" s="105" t="s">
        <v>379</v>
      </c>
      <c r="D44" s="163">
        <v>10</v>
      </c>
      <c r="E44" s="105" t="s">
        <v>394</v>
      </c>
      <c r="F44" s="11" t="s">
        <v>409</v>
      </c>
    </row>
    <row r="45" spans="3:6" x14ac:dyDescent="0.25">
      <c r="C45" s="105" t="s">
        <v>290</v>
      </c>
      <c r="D45" s="163">
        <v>0</v>
      </c>
      <c r="E45" s="105"/>
      <c r="F45" s="11" t="s">
        <v>410</v>
      </c>
    </row>
    <row r="46" spans="3:6" x14ac:dyDescent="0.25">
      <c r="C46" s="167" t="s">
        <v>380</v>
      </c>
      <c r="D46" s="166">
        <v>100</v>
      </c>
      <c r="E46" s="167" t="s">
        <v>385</v>
      </c>
      <c r="F46" s="11" t="s">
        <v>411</v>
      </c>
    </row>
    <row r="47" spans="3:6" x14ac:dyDescent="0.25">
      <c r="C47" s="167" t="s">
        <v>381</v>
      </c>
      <c r="D47" s="166">
        <v>70000</v>
      </c>
      <c r="E47" s="167" t="s">
        <v>386</v>
      </c>
      <c r="F47" s="11" t="s">
        <v>411</v>
      </c>
    </row>
    <row r="48" spans="3:6" x14ac:dyDescent="0.25">
      <c r="C48" s="167" t="s">
        <v>382</v>
      </c>
      <c r="D48" s="166">
        <v>5</v>
      </c>
      <c r="E48" s="167" t="s">
        <v>387</v>
      </c>
      <c r="F48" s="11" t="s">
        <v>412</v>
      </c>
    </row>
    <row r="49" spans="2:6" x14ac:dyDescent="0.25">
      <c r="C49" s="167" t="s">
        <v>383</v>
      </c>
      <c r="D49" s="166">
        <v>10</v>
      </c>
      <c r="E49" s="167" t="s">
        <v>388</v>
      </c>
      <c r="F49" s="11" t="s">
        <v>412</v>
      </c>
    </row>
    <row r="50" spans="2:6" x14ac:dyDescent="0.25">
      <c r="C50" s="167" t="s">
        <v>384</v>
      </c>
      <c r="D50" s="166">
        <v>10</v>
      </c>
      <c r="E50" s="167" t="s">
        <v>388</v>
      </c>
      <c r="F50" s="11" t="s">
        <v>412</v>
      </c>
    </row>
    <row r="51" spans="2:6" x14ac:dyDescent="0.25">
      <c r="C51" s="119"/>
      <c r="D51" s="119"/>
      <c r="E51" s="119"/>
    </row>
    <row r="52" spans="2:6" ht="21" x14ac:dyDescent="0.35">
      <c r="B52" s="248" t="s">
        <v>510</v>
      </c>
      <c r="E52" t="s">
        <v>511</v>
      </c>
    </row>
    <row r="53" spans="2:6" ht="15.75" thickBot="1" x14ac:dyDescent="0.3">
      <c r="B53" s="246" t="s">
        <v>501</v>
      </c>
    </row>
    <row r="54" spans="2:6" x14ac:dyDescent="0.25">
      <c r="C54" s="191"/>
      <c r="D54" s="126"/>
    </row>
    <row r="55" spans="2:6" x14ac:dyDescent="0.25">
      <c r="C55" s="127" t="s">
        <v>322</v>
      </c>
      <c r="D55" s="145">
        <v>11555.559126765964</v>
      </c>
      <c r="E55" s="119"/>
    </row>
    <row r="56" spans="2:6" x14ac:dyDescent="0.25">
      <c r="C56" s="127" t="s">
        <v>161</v>
      </c>
      <c r="D56" s="145">
        <v>0</v>
      </c>
      <c r="E56" s="119"/>
    </row>
    <row r="57" spans="2:6" x14ac:dyDescent="0.25">
      <c r="C57" s="127" t="s">
        <v>422</v>
      </c>
      <c r="D57" s="145">
        <v>3000</v>
      </c>
      <c r="E57" s="119"/>
    </row>
    <row r="58" spans="2:6" x14ac:dyDescent="0.25">
      <c r="C58" s="127" t="s">
        <v>215</v>
      </c>
      <c r="D58" s="145">
        <v>9000</v>
      </c>
      <c r="E58" s="119"/>
    </row>
    <row r="59" spans="2:6" x14ac:dyDescent="0.25">
      <c r="C59" s="127" t="s">
        <v>423</v>
      </c>
      <c r="D59" s="145">
        <v>1000</v>
      </c>
      <c r="E59" s="119"/>
    </row>
    <row r="60" spans="2:6" ht="15.75" thickBot="1" x14ac:dyDescent="0.3">
      <c r="C60" s="192" t="s">
        <v>424</v>
      </c>
      <c r="D60" s="193">
        <v>17000</v>
      </c>
      <c r="E60" s="119"/>
    </row>
    <row r="61" spans="2:6" ht="15.75" thickBot="1" x14ac:dyDescent="0.3">
      <c r="C61" s="132" t="s">
        <v>425</v>
      </c>
      <c r="D61" s="194">
        <v>41555.559126765962</v>
      </c>
      <c r="E61" s="119"/>
    </row>
    <row r="62" spans="2:6" x14ac:dyDescent="0.25">
      <c r="C62" s="119"/>
      <c r="D62" s="119"/>
      <c r="E62" s="119"/>
    </row>
    <row r="63" spans="2:6" ht="15.75" thickBot="1" x14ac:dyDescent="0.3">
      <c r="B63" s="246" t="s">
        <v>502</v>
      </c>
      <c r="C63" s="119"/>
      <c r="D63" s="119"/>
      <c r="E63" s="119"/>
    </row>
    <row r="64" spans="2:6" x14ac:dyDescent="0.25">
      <c r="C64" s="175" t="s">
        <v>330</v>
      </c>
      <c r="D64" s="177"/>
      <c r="E64" s="177"/>
    </row>
    <row r="65" spans="2:9" x14ac:dyDescent="0.25">
      <c r="C65" s="164" t="s">
        <v>331</v>
      </c>
      <c r="D65" s="178">
        <v>6</v>
      </c>
      <c r="E65" s="167" t="s">
        <v>389</v>
      </c>
    </row>
    <row r="66" spans="2:9" x14ac:dyDescent="0.25">
      <c r="C66" s="164" t="s">
        <v>332</v>
      </c>
      <c r="D66" s="166">
        <v>20</v>
      </c>
      <c r="E66" s="167" t="s">
        <v>389</v>
      </c>
    </row>
    <row r="67" spans="2:9" x14ac:dyDescent="0.25">
      <c r="C67" s="164" t="s">
        <v>333</v>
      </c>
      <c r="D67" s="166">
        <v>10</v>
      </c>
      <c r="E67" s="167" t="s">
        <v>389</v>
      </c>
    </row>
    <row r="68" spans="2:9" ht="15.75" thickBot="1" x14ac:dyDescent="0.3">
      <c r="C68" s="168" t="s">
        <v>334</v>
      </c>
      <c r="D68" s="179">
        <v>20</v>
      </c>
      <c r="E68" s="170" t="s">
        <v>389</v>
      </c>
    </row>
    <row r="69" spans="2:9" ht="15.75" thickBot="1" x14ac:dyDescent="0.3"/>
    <row r="70" spans="2:9" ht="15.75" thickBot="1" x14ac:dyDescent="0.3">
      <c r="C70" s="171" t="s">
        <v>329</v>
      </c>
      <c r="D70" s="172">
        <v>850370.88872908382</v>
      </c>
      <c r="E70" s="173"/>
      <c r="F70" s="173"/>
      <c r="G70" s="173"/>
      <c r="H70" s="173"/>
      <c r="I70" s="181"/>
    </row>
    <row r="71" spans="2:9" ht="15.75" thickBot="1" x14ac:dyDescent="0.3">
      <c r="C71" s="119"/>
      <c r="D71" s="174"/>
      <c r="E71" s="119"/>
      <c r="F71" s="119"/>
      <c r="G71" s="119"/>
      <c r="H71" s="119"/>
      <c r="I71" s="119"/>
    </row>
    <row r="72" spans="2:9" x14ac:dyDescent="0.25">
      <c r="C72" s="175" t="s">
        <v>330</v>
      </c>
      <c r="D72" s="176"/>
      <c r="E72" s="177"/>
      <c r="F72" s="177"/>
      <c r="G72" s="177"/>
      <c r="H72" s="177"/>
      <c r="I72" s="182"/>
    </row>
    <row r="73" spans="2:9" x14ac:dyDescent="0.25">
      <c r="C73" s="164" t="s">
        <v>331</v>
      </c>
      <c r="D73" s="165">
        <v>51000</v>
      </c>
      <c r="E73" s="167"/>
      <c r="F73" s="178">
        <v>6</v>
      </c>
      <c r="G73" s="167" t="s">
        <v>389</v>
      </c>
      <c r="H73" s="167"/>
      <c r="I73" s="183"/>
    </row>
    <row r="74" spans="2:9" x14ac:dyDescent="0.25">
      <c r="C74" s="164" t="s">
        <v>332</v>
      </c>
      <c r="D74" s="165">
        <v>170000</v>
      </c>
      <c r="E74" s="167"/>
      <c r="F74" s="166">
        <v>20</v>
      </c>
      <c r="G74" s="167" t="s">
        <v>389</v>
      </c>
      <c r="H74" s="167"/>
      <c r="I74" s="183"/>
    </row>
    <row r="75" spans="2:9" x14ac:dyDescent="0.25">
      <c r="C75" s="164" t="s">
        <v>333</v>
      </c>
      <c r="D75" s="165">
        <v>85000</v>
      </c>
      <c r="E75" s="167"/>
      <c r="F75" s="166">
        <v>10</v>
      </c>
      <c r="G75" s="167" t="s">
        <v>389</v>
      </c>
      <c r="H75" s="167"/>
      <c r="I75" s="183"/>
    </row>
    <row r="76" spans="2:9" ht="15.75" thickBot="1" x14ac:dyDescent="0.3">
      <c r="C76" s="168" t="s">
        <v>334</v>
      </c>
      <c r="D76" s="169">
        <v>34000</v>
      </c>
      <c r="E76" s="170"/>
      <c r="F76" s="179">
        <v>4</v>
      </c>
      <c r="G76" s="170" t="s">
        <v>389</v>
      </c>
      <c r="H76" s="170"/>
      <c r="I76" s="184"/>
    </row>
    <row r="77" spans="2:9" ht="15.75" thickBot="1" x14ac:dyDescent="0.3">
      <c r="C77" s="171" t="s">
        <v>335</v>
      </c>
      <c r="D77" s="185">
        <v>340000</v>
      </c>
      <c r="E77" s="173"/>
      <c r="F77" s="173"/>
      <c r="G77" s="173"/>
      <c r="H77" s="173"/>
      <c r="I77" s="181"/>
    </row>
    <row r="78" spans="2:9" x14ac:dyDescent="0.25">
      <c r="C78" s="119"/>
      <c r="D78" s="119"/>
      <c r="E78" s="119"/>
      <c r="F78" s="119"/>
      <c r="G78" s="119"/>
      <c r="H78" s="119"/>
      <c r="I78" s="119"/>
    </row>
    <row r="79" spans="2:9" ht="15.75" thickBot="1" x14ac:dyDescent="0.3">
      <c r="B79" s="246" t="s">
        <v>339</v>
      </c>
      <c r="C79" s="119"/>
      <c r="D79" s="119"/>
      <c r="E79" s="119"/>
      <c r="F79" s="119"/>
      <c r="G79" s="119"/>
      <c r="H79" s="119"/>
      <c r="I79" s="119"/>
    </row>
    <row r="80" spans="2:9" ht="16.5" thickBot="1" x14ac:dyDescent="0.3">
      <c r="C80" s="186" t="s">
        <v>336</v>
      </c>
      <c r="D80" s="187">
        <v>1190370.8887290838</v>
      </c>
      <c r="E80" s="188"/>
      <c r="F80" s="189"/>
      <c r="G80" s="189"/>
      <c r="H80" s="189"/>
      <c r="I80" s="189"/>
    </row>
    <row r="81" spans="3:9" ht="15.75" thickBot="1" x14ac:dyDescent="0.3">
      <c r="C81" s="119"/>
      <c r="D81" s="119"/>
      <c r="E81" s="119"/>
      <c r="F81" s="119"/>
      <c r="G81" s="119"/>
      <c r="H81" s="119"/>
      <c r="I81" s="119"/>
    </row>
    <row r="82" spans="3:9" ht="16.5" thickBot="1" x14ac:dyDescent="0.3">
      <c r="C82" s="186" t="s">
        <v>421</v>
      </c>
      <c r="D82" s="190">
        <v>0.70029401910077893</v>
      </c>
      <c r="E82" s="119"/>
      <c r="F82" s="119"/>
      <c r="G82" s="119"/>
      <c r="H82" s="119"/>
      <c r="I82" s="119"/>
    </row>
    <row r="83" spans="3:9" ht="15.75" thickBot="1" x14ac:dyDescent="0.3"/>
    <row r="84" spans="3:9" x14ac:dyDescent="0.25">
      <c r="C84" s="125" t="s">
        <v>426</v>
      </c>
      <c r="D84" s="126"/>
    </row>
    <row r="85" spans="3:9" x14ac:dyDescent="0.25">
      <c r="C85" s="127"/>
      <c r="D85" s="128"/>
    </row>
    <row r="86" spans="3:9" x14ac:dyDescent="0.25">
      <c r="C86" s="127" t="s">
        <v>207</v>
      </c>
      <c r="D86" s="145">
        <v>86000</v>
      </c>
    </row>
    <row r="87" spans="3:9" x14ac:dyDescent="0.25">
      <c r="C87" s="127" t="s">
        <v>427</v>
      </c>
      <c r="D87" s="195">
        <v>41555.559126765962</v>
      </c>
    </row>
    <row r="88" spans="3:9" x14ac:dyDescent="0.25">
      <c r="C88" s="127"/>
      <c r="D88" s="128"/>
    </row>
    <row r="89" spans="3:9" x14ac:dyDescent="0.25">
      <c r="C89" s="147" t="s">
        <v>341</v>
      </c>
      <c r="D89" s="196">
        <v>127555.55912676596</v>
      </c>
    </row>
    <row r="90" spans="3:9" x14ac:dyDescent="0.25">
      <c r="C90" s="149" t="s">
        <v>342</v>
      </c>
      <c r="D90" s="197">
        <v>5.4276092389611875E-2</v>
      </c>
    </row>
    <row r="91" spans="3:9" x14ac:dyDescent="0.25">
      <c r="C91" s="149" t="s">
        <v>343</v>
      </c>
      <c r="D91" s="198">
        <v>0.20559125905156014</v>
      </c>
    </row>
    <row r="92" spans="3:9" ht="15.75" thickBot="1" x14ac:dyDescent="0.3">
      <c r="C92" s="151" t="s">
        <v>344</v>
      </c>
      <c r="D92" s="199">
        <v>66.944132353347285</v>
      </c>
    </row>
  </sheetData>
  <mergeCells count="2">
    <mergeCell ref="B1:E1"/>
    <mergeCell ref="C6:E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712A-C56D-4FE8-ADAA-A1E9F176D2C7}">
  <dimension ref="A1:L97"/>
  <sheetViews>
    <sheetView topLeftCell="A71" zoomScale="55" zoomScaleNormal="55" workbookViewId="0">
      <selection activeCell="B88" sqref="B88"/>
    </sheetView>
  </sheetViews>
  <sheetFormatPr defaultRowHeight="15" x14ac:dyDescent="0.25"/>
  <cols>
    <col min="3" max="3" width="24.42578125" customWidth="1"/>
    <col min="4" max="4" width="15.85546875" customWidth="1"/>
    <col min="5" max="5" width="24.42578125" customWidth="1"/>
    <col min="6" max="6" width="41.28515625" bestFit="1" customWidth="1"/>
  </cols>
  <sheetData>
    <row r="1" spans="1:5" ht="45" x14ac:dyDescent="0.25">
      <c r="A1" s="252" t="s">
        <v>496</v>
      </c>
      <c r="B1" s="277" t="s">
        <v>517</v>
      </c>
      <c r="C1" s="277"/>
      <c r="D1" s="277"/>
      <c r="E1" s="277"/>
    </row>
    <row r="2" spans="1:5" x14ac:dyDescent="0.25">
      <c r="A2" s="253"/>
      <c r="B2" s="254"/>
      <c r="C2" s="254"/>
      <c r="D2" s="254"/>
      <c r="E2" s="254"/>
    </row>
    <row r="3" spans="1:5" ht="23.25" x14ac:dyDescent="0.35">
      <c r="B3" s="249" t="s">
        <v>236</v>
      </c>
    </row>
    <row r="4" spans="1:5" ht="23.25" x14ac:dyDescent="0.35">
      <c r="B4" s="249"/>
    </row>
    <row r="5" spans="1:5" ht="21" x14ac:dyDescent="0.35">
      <c r="B5" s="248" t="s">
        <v>498</v>
      </c>
      <c r="E5" t="s">
        <v>505</v>
      </c>
    </row>
    <row r="6" spans="1:5" x14ac:dyDescent="0.25">
      <c r="C6" s="283" t="s">
        <v>127</v>
      </c>
      <c r="D6" s="283"/>
      <c r="E6" s="283"/>
    </row>
    <row r="7" spans="1:5" x14ac:dyDescent="0.25">
      <c r="C7" s="26"/>
      <c r="D7" s="26" t="s">
        <v>38</v>
      </c>
      <c r="E7" s="26" t="s">
        <v>126</v>
      </c>
    </row>
    <row r="8" spans="1:5" x14ac:dyDescent="0.25">
      <c r="C8" s="11" t="s">
        <v>124</v>
      </c>
      <c r="D8" s="23">
        <f>'Case 2 MF-NF Cost Summary'!D6</f>
        <v>1.6853932584269662</v>
      </c>
      <c r="E8" s="23">
        <f>'Case 2 MF-NF Cost Summary'!E6</f>
        <v>1.5</v>
      </c>
    </row>
    <row r="9" spans="1:5" x14ac:dyDescent="0.25">
      <c r="C9" s="11" t="s">
        <v>125</v>
      </c>
      <c r="D9" s="23">
        <f>'Case 2 MF-NF Cost Summary'!F6</f>
        <v>2.584269662921348</v>
      </c>
      <c r="E9" s="23">
        <f>'Case 2 MF-NF Cost Summary'!G6</f>
        <v>2.2999999999999998</v>
      </c>
    </row>
    <row r="11" spans="1:5" ht="21" x14ac:dyDescent="0.35">
      <c r="B11" s="248" t="s">
        <v>504</v>
      </c>
      <c r="D11" t="s">
        <v>499</v>
      </c>
      <c r="E11" t="s">
        <v>506</v>
      </c>
    </row>
    <row r="12" spans="1:5" x14ac:dyDescent="0.25">
      <c r="C12" s="108" t="s">
        <v>237</v>
      </c>
      <c r="D12" s="105"/>
      <c r="E12" s="105"/>
    </row>
    <row r="13" spans="1:5" x14ac:dyDescent="0.25">
      <c r="C13" s="105" t="s">
        <v>238</v>
      </c>
      <c r="D13" s="106" t="s">
        <v>239</v>
      </c>
      <c r="E13" s="106"/>
    </row>
    <row r="14" spans="1:5" x14ac:dyDescent="0.25">
      <c r="C14" s="105" t="s">
        <v>240</v>
      </c>
      <c r="D14" s="109" t="s">
        <v>241</v>
      </c>
      <c r="E14" s="109"/>
    </row>
    <row r="15" spans="1:5" x14ac:dyDescent="0.25">
      <c r="C15" s="105" t="s">
        <v>242</v>
      </c>
      <c r="D15" s="110">
        <v>20.32</v>
      </c>
      <c r="E15" s="105" t="s">
        <v>243</v>
      </c>
    </row>
    <row r="16" spans="1:5" x14ac:dyDescent="0.25">
      <c r="C16" s="105" t="s">
        <v>244</v>
      </c>
      <c r="D16" s="106">
        <v>47</v>
      </c>
      <c r="E16" s="105" t="s">
        <v>245</v>
      </c>
    </row>
    <row r="17" spans="3:6" x14ac:dyDescent="0.25">
      <c r="C17" s="105" t="s">
        <v>246</v>
      </c>
      <c r="D17" s="106">
        <v>37.1</v>
      </c>
      <c r="E17" s="105" t="s">
        <v>247</v>
      </c>
    </row>
    <row r="18" spans="3:6" ht="15.75" x14ac:dyDescent="0.3">
      <c r="C18" s="105" t="s">
        <v>248</v>
      </c>
      <c r="D18" s="106">
        <v>482</v>
      </c>
      <c r="E18" s="105" t="s">
        <v>249</v>
      </c>
    </row>
    <row r="19" spans="3:6" x14ac:dyDescent="0.25">
      <c r="C19" s="106" t="s">
        <v>250</v>
      </c>
      <c r="D19" s="106">
        <v>2000</v>
      </c>
      <c r="E19" s="105" t="s">
        <v>142</v>
      </c>
    </row>
    <row r="20" spans="3:6" x14ac:dyDescent="0.25">
      <c r="C20" s="105" t="s">
        <v>251</v>
      </c>
      <c r="D20" s="106">
        <v>120</v>
      </c>
      <c r="E20" s="105" t="s">
        <v>252</v>
      </c>
    </row>
    <row r="21" spans="3:6" x14ac:dyDescent="0.25">
      <c r="C21" s="105" t="s">
        <v>253</v>
      </c>
      <c r="D21" s="111">
        <v>50</v>
      </c>
      <c r="E21" s="105" t="s">
        <v>59</v>
      </c>
    </row>
    <row r="22" spans="3:6" x14ac:dyDescent="0.25">
      <c r="C22" s="105" t="s">
        <v>254</v>
      </c>
      <c r="D22" s="111">
        <v>97</v>
      </c>
      <c r="E22" s="105" t="s">
        <v>59</v>
      </c>
    </row>
    <row r="23" spans="3:6" x14ac:dyDescent="0.25">
      <c r="C23" s="105" t="s">
        <v>255</v>
      </c>
      <c r="D23" s="106">
        <v>15</v>
      </c>
      <c r="E23" s="105" t="s">
        <v>59</v>
      </c>
    </row>
    <row r="24" spans="3:6" x14ac:dyDescent="0.25">
      <c r="C24" s="105" t="s">
        <v>256</v>
      </c>
      <c r="D24" s="106">
        <v>25</v>
      </c>
      <c r="E24" s="112" t="s">
        <v>257</v>
      </c>
    </row>
    <row r="25" spans="3:6" x14ac:dyDescent="0.25">
      <c r="C25" s="115"/>
      <c r="D25" s="107"/>
      <c r="E25" s="116"/>
      <c r="F25" s="104"/>
    </row>
    <row r="26" spans="3:6" x14ac:dyDescent="0.25">
      <c r="C26" s="295" t="s">
        <v>302</v>
      </c>
      <c r="D26" s="295"/>
      <c r="E26" s="295"/>
      <c r="F26" s="104"/>
    </row>
    <row r="27" spans="3:6" x14ac:dyDescent="0.25">
      <c r="C27" s="105" t="s">
        <v>0</v>
      </c>
      <c r="D27" s="11" t="s">
        <v>301</v>
      </c>
      <c r="E27" s="11" t="s">
        <v>74</v>
      </c>
      <c r="F27" s="11" t="s">
        <v>69</v>
      </c>
    </row>
    <row r="28" spans="3:6" ht="15.75" x14ac:dyDescent="0.3">
      <c r="C28" s="105" t="s">
        <v>258</v>
      </c>
      <c r="D28" s="121">
        <v>482.5</v>
      </c>
      <c r="E28" s="105" t="s">
        <v>249</v>
      </c>
      <c r="F28" s="11" t="s">
        <v>259</v>
      </c>
    </row>
    <row r="29" spans="3:6" x14ac:dyDescent="0.25">
      <c r="C29" s="105" t="s">
        <v>260</v>
      </c>
      <c r="D29" s="117">
        <v>6</v>
      </c>
      <c r="E29" s="105" t="s">
        <v>261</v>
      </c>
      <c r="F29" s="11"/>
    </row>
    <row r="30" spans="3:6" x14ac:dyDescent="0.25">
      <c r="C30" s="105" t="s">
        <v>262</v>
      </c>
      <c r="D30" s="117">
        <v>2</v>
      </c>
      <c r="E30" s="105" t="s">
        <v>263</v>
      </c>
      <c r="F30" s="11"/>
    </row>
    <row r="31" spans="3:6" x14ac:dyDescent="0.25">
      <c r="C31" s="105" t="s">
        <v>255</v>
      </c>
      <c r="D31" s="122">
        <v>0.89</v>
      </c>
      <c r="E31" s="105" t="s">
        <v>285</v>
      </c>
      <c r="F31" s="11" t="s">
        <v>286</v>
      </c>
    </row>
    <row r="32" spans="3:6" x14ac:dyDescent="0.25">
      <c r="C32" s="105" t="s">
        <v>264</v>
      </c>
      <c r="D32" s="117">
        <v>0</v>
      </c>
      <c r="E32" s="105" t="s">
        <v>247</v>
      </c>
      <c r="F32" s="11" t="s">
        <v>294</v>
      </c>
    </row>
    <row r="33" spans="3:12" x14ac:dyDescent="0.25">
      <c r="C33" s="105" t="s">
        <v>265</v>
      </c>
      <c r="D33" s="117" t="s">
        <v>266</v>
      </c>
      <c r="E33" s="105" t="s">
        <v>267</v>
      </c>
      <c r="F33" s="11" t="s">
        <v>295</v>
      </c>
    </row>
    <row r="34" spans="3:12" x14ac:dyDescent="0.25">
      <c r="C34" s="105" t="s">
        <v>268</v>
      </c>
      <c r="D34" s="120">
        <v>0</v>
      </c>
      <c r="E34" s="105" t="s">
        <v>269</v>
      </c>
      <c r="F34" s="11" t="s">
        <v>296</v>
      </c>
    </row>
    <row r="35" spans="3:12" x14ac:dyDescent="0.25">
      <c r="C35" s="105" t="s">
        <v>270</v>
      </c>
      <c r="D35" s="117" t="s">
        <v>271</v>
      </c>
      <c r="E35" s="105" t="s">
        <v>267</v>
      </c>
      <c r="F35" s="11"/>
    </row>
    <row r="36" spans="3:12" x14ac:dyDescent="0.25">
      <c r="C36" s="105" t="s">
        <v>272</v>
      </c>
      <c r="D36" s="118" t="s">
        <v>273</v>
      </c>
      <c r="E36" s="113" t="s">
        <v>274</v>
      </c>
      <c r="F36" s="11"/>
    </row>
    <row r="37" spans="3:12" x14ac:dyDescent="0.25">
      <c r="C37" s="105" t="s">
        <v>275</v>
      </c>
      <c r="D37" s="121">
        <v>3</v>
      </c>
      <c r="E37" s="105" t="s">
        <v>276</v>
      </c>
      <c r="F37" s="11" t="s">
        <v>287</v>
      </c>
    </row>
    <row r="38" spans="3:12" x14ac:dyDescent="0.25">
      <c r="C38" s="105" t="s">
        <v>277</v>
      </c>
      <c r="D38" s="122">
        <v>0.75</v>
      </c>
      <c r="E38" s="105"/>
      <c r="F38" s="11" t="s">
        <v>287</v>
      </c>
    </row>
    <row r="39" spans="3:12" x14ac:dyDescent="0.25">
      <c r="C39" s="105" t="s">
        <v>278</v>
      </c>
      <c r="D39" s="122">
        <v>0.75</v>
      </c>
      <c r="E39" s="105"/>
      <c r="F39" s="11" t="s">
        <v>287</v>
      </c>
    </row>
    <row r="40" spans="3:12" x14ac:dyDescent="0.25">
      <c r="C40" s="105" t="s">
        <v>279</v>
      </c>
      <c r="D40" s="122">
        <v>1</v>
      </c>
      <c r="E40" s="105"/>
      <c r="F40" s="11" t="s">
        <v>287</v>
      </c>
    </row>
    <row r="41" spans="3:12" x14ac:dyDescent="0.25">
      <c r="C41" s="105" t="s">
        <v>280</v>
      </c>
      <c r="D41" s="121">
        <f>D30</f>
        <v>2</v>
      </c>
      <c r="E41" s="105"/>
      <c r="F41" s="11" t="s">
        <v>287</v>
      </c>
    </row>
    <row r="42" spans="3:12" x14ac:dyDescent="0.25">
      <c r="C42" s="105" t="s">
        <v>281</v>
      </c>
      <c r="D42" s="117" t="s">
        <v>266</v>
      </c>
      <c r="E42" s="105" t="s">
        <v>267</v>
      </c>
      <c r="F42" s="11" t="s">
        <v>297</v>
      </c>
    </row>
    <row r="43" spans="3:12" x14ac:dyDescent="0.25">
      <c r="C43" s="105" t="s">
        <v>282</v>
      </c>
      <c r="D43" s="117" t="s">
        <v>266</v>
      </c>
      <c r="E43" s="105" t="s">
        <v>267</v>
      </c>
      <c r="F43" s="11" t="s">
        <v>298</v>
      </c>
    </row>
    <row r="44" spans="3:12" x14ac:dyDescent="0.25">
      <c r="C44" s="105" t="s">
        <v>283</v>
      </c>
      <c r="D44" s="117" t="s">
        <v>266</v>
      </c>
      <c r="E44" s="105" t="s">
        <v>267</v>
      </c>
      <c r="F44" s="11" t="s">
        <v>299</v>
      </c>
    </row>
    <row r="45" spans="3:12" x14ac:dyDescent="0.25">
      <c r="C45" s="105" t="s">
        <v>288</v>
      </c>
      <c r="D45" s="117">
        <v>6</v>
      </c>
      <c r="E45" s="105" t="s">
        <v>289</v>
      </c>
      <c r="F45" s="11"/>
    </row>
    <row r="46" spans="3:12" x14ac:dyDescent="0.25">
      <c r="C46" s="105" t="s">
        <v>290</v>
      </c>
      <c r="D46" s="117">
        <v>0</v>
      </c>
      <c r="E46" s="105"/>
      <c r="F46" s="11" t="s">
        <v>300</v>
      </c>
    </row>
    <row r="47" spans="3:12" x14ac:dyDescent="0.25">
      <c r="C47" s="105" t="s">
        <v>291</v>
      </c>
      <c r="D47" s="121">
        <v>35</v>
      </c>
      <c r="E47" s="105" t="s">
        <v>292</v>
      </c>
      <c r="F47" s="11" t="s">
        <v>293</v>
      </c>
      <c r="J47" s="114"/>
      <c r="K47" s="123"/>
      <c r="L47" s="114"/>
    </row>
    <row r="48" spans="3:12" x14ac:dyDescent="0.25">
      <c r="C48" s="105" t="s">
        <v>284</v>
      </c>
      <c r="D48" s="122">
        <v>0.83</v>
      </c>
      <c r="E48" s="105"/>
      <c r="F48" s="11"/>
      <c r="J48" s="114"/>
      <c r="K48" s="123"/>
      <c r="L48" s="114"/>
    </row>
    <row r="50" spans="2:6" x14ac:dyDescent="0.25">
      <c r="C50" s="295" t="s">
        <v>303</v>
      </c>
      <c r="D50" s="295"/>
      <c r="E50" s="295"/>
    </row>
    <row r="51" spans="2:6" x14ac:dyDescent="0.25">
      <c r="C51" s="105" t="s">
        <v>0</v>
      </c>
      <c r="D51" s="11" t="s">
        <v>301</v>
      </c>
      <c r="E51" s="11" t="s">
        <v>74</v>
      </c>
      <c r="F51" s="11" t="s">
        <v>69</v>
      </c>
    </row>
    <row r="52" spans="2:6" x14ac:dyDescent="0.25">
      <c r="C52" s="105" t="s">
        <v>304</v>
      </c>
      <c r="D52" s="201">
        <v>1047</v>
      </c>
      <c r="E52" s="105" t="s">
        <v>308</v>
      </c>
      <c r="F52" s="11" t="s">
        <v>317</v>
      </c>
    </row>
    <row r="53" spans="2:6" x14ac:dyDescent="0.25">
      <c r="C53" s="105" t="s">
        <v>305</v>
      </c>
      <c r="D53" s="201">
        <v>3000</v>
      </c>
      <c r="E53" s="105" t="s">
        <v>309</v>
      </c>
      <c r="F53" s="11" t="s">
        <v>318</v>
      </c>
    </row>
    <row r="54" spans="2:6" x14ac:dyDescent="0.25">
      <c r="C54" s="105" t="s">
        <v>306</v>
      </c>
      <c r="D54" s="201">
        <v>977</v>
      </c>
      <c r="E54" s="105" t="s">
        <v>310</v>
      </c>
      <c r="F54" s="11" t="s">
        <v>318</v>
      </c>
    </row>
    <row r="55" spans="2:6" x14ac:dyDescent="0.25">
      <c r="C55" s="105" t="s">
        <v>307</v>
      </c>
      <c r="D55" s="201">
        <v>65000</v>
      </c>
      <c r="E55" s="105"/>
      <c r="F55" s="11" t="s">
        <v>318</v>
      </c>
    </row>
    <row r="56" spans="2:6" x14ac:dyDescent="0.25">
      <c r="C56" s="105" t="s">
        <v>311</v>
      </c>
      <c r="D56" s="201">
        <v>55000</v>
      </c>
      <c r="E56" s="105"/>
      <c r="F56" s="11" t="s">
        <v>318</v>
      </c>
    </row>
    <row r="57" spans="2:6" x14ac:dyDescent="0.25">
      <c r="C57" s="105" t="s">
        <v>312</v>
      </c>
      <c r="D57" s="201">
        <v>50000</v>
      </c>
      <c r="E57" s="105"/>
      <c r="F57" s="11" t="s">
        <v>318</v>
      </c>
    </row>
    <row r="58" spans="2:6" x14ac:dyDescent="0.25">
      <c r="C58" s="105" t="s">
        <v>313</v>
      </c>
      <c r="D58" s="201">
        <v>0</v>
      </c>
      <c r="E58" s="105"/>
      <c r="F58" s="11" t="s">
        <v>328</v>
      </c>
    </row>
    <row r="59" spans="2:6" x14ac:dyDescent="0.25">
      <c r="C59" s="105" t="s">
        <v>314</v>
      </c>
      <c r="D59" s="201">
        <v>67000</v>
      </c>
      <c r="E59" s="105"/>
      <c r="F59" s="11" t="s">
        <v>318</v>
      </c>
    </row>
    <row r="60" spans="2:6" x14ac:dyDescent="0.25">
      <c r="C60" s="105" t="s">
        <v>315</v>
      </c>
      <c r="D60" s="201">
        <v>100000</v>
      </c>
      <c r="E60" s="105"/>
      <c r="F60" s="11" t="s">
        <v>318</v>
      </c>
    </row>
    <row r="61" spans="2:6" x14ac:dyDescent="0.25">
      <c r="C61" s="105" t="s">
        <v>316</v>
      </c>
      <c r="D61" s="120">
        <f>50000/3785</f>
        <v>13.21003963011889</v>
      </c>
      <c r="E61" s="105" t="s">
        <v>310</v>
      </c>
      <c r="F61" s="11" t="s">
        <v>318</v>
      </c>
    </row>
    <row r="62" spans="2:6" x14ac:dyDescent="0.25">
      <c r="C62" s="105" t="s">
        <v>319</v>
      </c>
      <c r="D62" s="117">
        <v>14.53</v>
      </c>
      <c r="E62" s="105" t="s">
        <v>310</v>
      </c>
      <c r="F62" s="11" t="s">
        <v>320</v>
      </c>
    </row>
    <row r="63" spans="2:6" x14ac:dyDescent="0.25">
      <c r="C63" s="114"/>
      <c r="D63" s="264"/>
      <c r="E63" s="114"/>
    </row>
    <row r="64" spans="2:6" ht="21" x14ac:dyDescent="0.35">
      <c r="B64" s="248" t="s">
        <v>500</v>
      </c>
      <c r="C64" s="124"/>
      <c r="D64" t="s">
        <v>507</v>
      </c>
    </row>
    <row r="65" spans="2:4" ht="15.75" thickBot="1" x14ac:dyDescent="0.3">
      <c r="B65" s="246" t="s">
        <v>501</v>
      </c>
      <c r="C65" s="124"/>
    </row>
    <row r="66" spans="2:4" x14ac:dyDescent="0.25">
      <c r="C66" s="125" t="s">
        <v>321</v>
      </c>
      <c r="D66" s="126"/>
    </row>
    <row r="67" spans="2:4" x14ac:dyDescent="0.25">
      <c r="C67" s="127"/>
      <c r="D67" s="128"/>
    </row>
    <row r="68" spans="2:4" x14ac:dyDescent="0.25">
      <c r="C68" s="127" t="s">
        <v>322</v>
      </c>
      <c r="D68" s="129">
        <v>48650.718461274962</v>
      </c>
    </row>
    <row r="69" spans="2:4" x14ac:dyDescent="0.25">
      <c r="C69" s="127" t="s">
        <v>161</v>
      </c>
      <c r="D69" s="129">
        <v>0</v>
      </c>
    </row>
    <row r="70" spans="2:4" x14ac:dyDescent="0.25">
      <c r="C70" s="127" t="s">
        <v>215</v>
      </c>
      <c r="D70" s="129">
        <v>119997.04465142688</v>
      </c>
    </row>
    <row r="71" spans="2:4" x14ac:dyDescent="0.25">
      <c r="C71" s="127" t="s">
        <v>323</v>
      </c>
      <c r="D71" s="129">
        <v>6258.3862923733786</v>
      </c>
    </row>
    <row r="72" spans="2:4" x14ac:dyDescent="0.25">
      <c r="C72" s="127" t="s">
        <v>313</v>
      </c>
      <c r="D72" s="130">
        <v>0</v>
      </c>
    </row>
    <row r="73" spans="2:4" x14ac:dyDescent="0.25">
      <c r="C73" s="127" t="s">
        <v>324</v>
      </c>
      <c r="D73" s="129">
        <v>44706.353608711172</v>
      </c>
    </row>
    <row r="74" spans="2:4" x14ac:dyDescent="0.25">
      <c r="C74" s="127" t="s">
        <v>325</v>
      </c>
      <c r="D74" s="129">
        <v>17882.541443484468</v>
      </c>
    </row>
    <row r="75" spans="2:4" ht="15.75" thickBot="1" x14ac:dyDescent="0.3">
      <c r="C75" s="131" t="s">
        <v>326</v>
      </c>
      <c r="D75" s="129">
        <v>0</v>
      </c>
    </row>
    <row r="76" spans="2:4" ht="15.75" thickBot="1" x14ac:dyDescent="0.3">
      <c r="C76" s="132" t="s">
        <v>327</v>
      </c>
      <c r="D76" s="133">
        <v>237495.04445727085</v>
      </c>
    </row>
    <row r="77" spans="2:4" ht="15.75" thickBot="1" x14ac:dyDescent="0.3">
      <c r="B77" s="246" t="s">
        <v>519</v>
      </c>
    </row>
    <row r="78" spans="2:4" ht="15.75" thickBot="1" x14ac:dyDescent="0.3">
      <c r="C78" s="134" t="s">
        <v>329</v>
      </c>
      <c r="D78" s="135">
        <v>3370226.7620628527</v>
      </c>
    </row>
    <row r="79" spans="2:4" x14ac:dyDescent="0.25">
      <c r="C79" s="125" t="s">
        <v>330</v>
      </c>
      <c r="D79" s="136"/>
    </row>
    <row r="80" spans="2:4" x14ac:dyDescent="0.25">
      <c r="C80" s="127" t="s">
        <v>331</v>
      </c>
      <c r="D80" s="137">
        <v>204936.08481970811</v>
      </c>
    </row>
    <row r="81" spans="2:4" x14ac:dyDescent="0.25">
      <c r="C81" s="127" t="s">
        <v>332</v>
      </c>
      <c r="D81" s="137">
        <v>683120.28273236018</v>
      </c>
    </row>
    <row r="82" spans="2:4" x14ac:dyDescent="0.25">
      <c r="C82" s="127" t="s">
        <v>333</v>
      </c>
      <c r="D82" s="137">
        <v>341560.14136618009</v>
      </c>
    </row>
    <row r="83" spans="2:4" ht="15.75" thickBot="1" x14ac:dyDescent="0.3">
      <c r="C83" s="131" t="s">
        <v>334</v>
      </c>
      <c r="D83" s="137">
        <v>136624.05654647204</v>
      </c>
    </row>
    <row r="84" spans="2:4" ht="15.75" thickBot="1" x14ac:dyDescent="0.3">
      <c r="C84" s="132" t="s">
        <v>335</v>
      </c>
      <c r="D84" s="138">
        <v>1366240.5654647204</v>
      </c>
    </row>
    <row r="85" spans="2:4" ht="15.75" thickBot="1" x14ac:dyDescent="0.3">
      <c r="C85" s="119"/>
      <c r="D85" s="119"/>
    </row>
    <row r="86" spans="2:4" ht="16.5" thickBot="1" x14ac:dyDescent="0.3">
      <c r="C86" s="139" t="s">
        <v>336</v>
      </c>
      <c r="D86" s="140">
        <v>4781841.9791265214</v>
      </c>
    </row>
    <row r="87" spans="2:4" ht="15.75" thickBot="1" x14ac:dyDescent="0.3">
      <c r="B87" s="246" t="s">
        <v>339</v>
      </c>
      <c r="C87" s="119"/>
      <c r="D87" s="119"/>
    </row>
    <row r="88" spans="2:4" ht="15.75" x14ac:dyDescent="0.25">
      <c r="C88" s="141" t="s">
        <v>337</v>
      </c>
      <c r="D88" s="142">
        <v>749.59742165083287</v>
      </c>
    </row>
    <row r="89" spans="2:4" ht="16.5" thickBot="1" x14ac:dyDescent="0.3">
      <c r="C89" s="143" t="s">
        <v>338</v>
      </c>
      <c r="D89" s="144">
        <v>2.8372262409484024</v>
      </c>
    </row>
    <row r="90" spans="2:4" ht="15.75" thickBot="1" x14ac:dyDescent="0.3"/>
    <row r="91" spans="2:4" ht="15.75" x14ac:dyDescent="0.25">
      <c r="C91" s="141" t="s">
        <v>339</v>
      </c>
      <c r="D91" s="126"/>
    </row>
    <row r="92" spans="2:4" x14ac:dyDescent="0.25">
      <c r="C92" s="127" t="s">
        <v>207</v>
      </c>
      <c r="D92" s="145">
        <v>347395.61470095481</v>
      </c>
    </row>
    <row r="93" spans="2:4" ht="15.75" thickBot="1" x14ac:dyDescent="0.3">
      <c r="C93" s="127" t="s">
        <v>340</v>
      </c>
      <c r="D93" s="146">
        <v>217295.13086002189</v>
      </c>
    </row>
    <row r="94" spans="2:4" x14ac:dyDescent="0.25">
      <c r="C94" s="147" t="s">
        <v>341</v>
      </c>
      <c r="D94" s="148">
        <v>564690.74556097668</v>
      </c>
    </row>
    <row r="95" spans="2:4" x14ac:dyDescent="0.25">
      <c r="C95" s="149" t="s">
        <v>342</v>
      </c>
      <c r="D95" s="150">
        <v>0.24252173675190783</v>
      </c>
    </row>
    <row r="96" spans="2:4" x14ac:dyDescent="0.25">
      <c r="C96" s="149" t="s">
        <v>343</v>
      </c>
      <c r="D96" s="150">
        <v>0.91794477360597115</v>
      </c>
    </row>
    <row r="97" spans="3:4" ht="15.75" thickBot="1" x14ac:dyDescent="0.3">
      <c r="C97" s="151" t="s">
        <v>344</v>
      </c>
      <c r="D97" s="152">
        <v>299.12631010980311</v>
      </c>
    </row>
  </sheetData>
  <mergeCells count="4">
    <mergeCell ref="C6:E6"/>
    <mergeCell ref="C26:E26"/>
    <mergeCell ref="C50:E50"/>
    <mergeCell ref="B1:E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1F25-C18C-4731-A02E-3A9DDD2C2D98}">
  <dimension ref="A1:H67"/>
  <sheetViews>
    <sheetView zoomScale="55" zoomScaleNormal="55" workbookViewId="0">
      <selection activeCell="B60" sqref="B60"/>
    </sheetView>
  </sheetViews>
  <sheetFormatPr defaultRowHeight="15" x14ac:dyDescent="0.25"/>
  <cols>
    <col min="3" max="3" width="33.140625" bestFit="1" customWidth="1"/>
    <col min="4" max="4" width="14.7109375" bestFit="1" customWidth="1"/>
    <col min="7" max="7" width="11.5703125" bestFit="1" customWidth="1"/>
    <col min="8" max="8" width="21.42578125" style="255" customWidth="1"/>
  </cols>
  <sheetData>
    <row r="1" spans="1:5" ht="45" x14ac:dyDescent="0.25">
      <c r="A1" s="252" t="s">
        <v>496</v>
      </c>
      <c r="B1" s="277" t="s">
        <v>515</v>
      </c>
      <c r="C1" s="277"/>
      <c r="D1" s="277"/>
      <c r="E1" s="277"/>
    </row>
    <row r="2" spans="1:5" x14ac:dyDescent="0.25">
      <c r="A2" s="253"/>
      <c r="B2" s="254"/>
      <c r="C2" s="254"/>
      <c r="D2" s="254"/>
      <c r="E2" s="254"/>
    </row>
    <row r="3" spans="1:5" ht="23.25" x14ac:dyDescent="0.35">
      <c r="B3" s="249" t="s">
        <v>440</v>
      </c>
    </row>
    <row r="4" spans="1:5" ht="23.25" x14ac:dyDescent="0.35">
      <c r="B4" s="249"/>
    </row>
    <row r="5" spans="1:5" ht="21" x14ac:dyDescent="0.35">
      <c r="B5" s="248" t="s">
        <v>498</v>
      </c>
      <c r="D5" t="s">
        <v>505</v>
      </c>
    </row>
    <row r="6" spans="1:5" x14ac:dyDescent="0.25">
      <c r="C6" s="286" t="s">
        <v>127</v>
      </c>
      <c r="D6" s="287"/>
      <c r="E6" s="288"/>
    </row>
    <row r="7" spans="1:5" x14ac:dyDescent="0.25">
      <c r="C7" s="26"/>
      <c r="D7" s="26" t="s">
        <v>38</v>
      </c>
      <c r="E7" s="26" t="s">
        <v>126</v>
      </c>
    </row>
    <row r="8" spans="1:5" x14ac:dyDescent="0.25">
      <c r="C8" s="11" t="s">
        <v>124</v>
      </c>
      <c r="D8" s="23">
        <f>'Case 3 EC-MF-NF Cost Summary'!D8</f>
        <v>1.7740981667652276</v>
      </c>
      <c r="E8" s="23">
        <f>'Case 3 EC-MF-NF Cost Summary'!E8</f>
        <v>1.7740981667652276</v>
      </c>
    </row>
    <row r="9" spans="1:5" x14ac:dyDescent="0.25">
      <c r="C9" s="11" t="s">
        <v>125</v>
      </c>
      <c r="D9" s="23">
        <f>'Case 3 EC-MF-NF Cost Summary'!F8</f>
        <v>2.7202838557066822</v>
      </c>
      <c r="E9" s="23">
        <f>'Case 3 EC-MF-NF Cost Summary'!G8</f>
        <v>2.7202838557066822</v>
      </c>
    </row>
    <row r="12" spans="1:5" ht="21" x14ac:dyDescent="0.35">
      <c r="B12" s="248" t="s">
        <v>514</v>
      </c>
      <c r="D12" t="s">
        <v>499</v>
      </c>
      <c r="E12" t="s">
        <v>513</v>
      </c>
    </row>
    <row r="13" spans="1:5" x14ac:dyDescent="0.25">
      <c r="C13" s="11" t="s">
        <v>441</v>
      </c>
      <c r="D13" s="159">
        <v>10</v>
      </c>
    </row>
    <row r="14" spans="1:5" x14ac:dyDescent="0.25">
      <c r="C14" s="11" t="s">
        <v>442</v>
      </c>
      <c r="D14" s="205">
        <v>2.2000000000000002</v>
      </c>
    </row>
    <row r="15" spans="1:5" x14ac:dyDescent="0.25">
      <c r="C15" s="11" t="s">
        <v>443</v>
      </c>
      <c r="D15" s="205">
        <v>16.5</v>
      </c>
    </row>
    <row r="16" spans="1:5" x14ac:dyDescent="0.25">
      <c r="C16" s="211" t="s">
        <v>444</v>
      </c>
      <c r="D16" s="159">
        <v>600</v>
      </c>
    </row>
    <row r="17" spans="3:8" x14ac:dyDescent="0.25">
      <c r="C17" s="211" t="s">
        <v>445</v>
      </c>
      <c r="D17" s="205">
        <v>0.4</v>
      </c>
    </row>
    <row r="18" spans="3:8" x14ac:dyDescent="0.25">
      <c r="C18" s="11" t="s">
        <v>446</v>
      </c>
      <c r="D18" s="205" t="s">
        <v>447</v>
      </c>
    </row>
    <row r="19" spans="3:8" x14ac:dyDescent="0.25">
      <c r="C19" s="11" t="s">
        <v>448</v>
      </c>
      <c r="D19" s="206">
        <v>1.1499999999999999</v>
      </c>
    </row>
    <row r="20" spans="3:8" x14ac:dyDescent="0.25">
      <c r="C20" s="11" t="s">
        <v>449</v>
      </c>
      <c r="D20" s="207">
        <v>0.75</v>
      </c>
    </row>
    <row r="21" spans="3:8" x14ac:dyDescent="0.25">
      <c r="C21" s="11" t="s">
        <v>450</v>
      </c>
      <c r="D21" s="208">
        <v>0.9</v>
      </c>
    </row>
    <row r="22" spans="3:8" x14ac:dyDescent="0.25">
      <c r="C22" s="11" t="s">
        <v>451</v>
      </c>
      <c r="D22" s="209">
        <v>1.8</v>
      </c>
    </row>
    <row r="23" spans="3:8" x14ac:dyDescent="0.25">
      <c r="C23" s="11" t="s">
        <v>452</v>
      </c>
      <c r="D23" s="210">
        <v>0.99</v>
      </c>
    </row>
    <row r="24" spans="3:8" x14ac:dyDescent="0.25">
      <c r="C24" s="11" t="s">
        <v>453</v>
      </c>
      <c r="D24" s="209">
        <v>1.5</v>
      </c>
    </row>
    <row r="25" spans="3:8" ht="15.75" thickBot="1" x14ac:dyDescent="0.3"/>
    <row r="26" spans="3:8" ht="15.75" thickBot="1" x14ac:dyDescent="0.3">
      <c r="C26" s="242" t="s">
        <v>477</v>
      </c>
      <c r="D26" s="243"/>
      <c r="E26" s="243" t="s">
        <v>74</v>
      </c>
      <c r="F26" s="296" t="s">
        <v>10</v>
      </c>
      <c r="G26" s="296"/>
      <c r="H26" s="256" t="s">
        <v>69</v>
      </c>
    </row>
    <row r="27" spans="3:8" ht="15.75" thickTop="1" x14ac:dyDescent="0.25">
      <c r="C27" s="204" t="s">
        <v>478</v>
      </c>
      <c r="D27" s="11">
        <v>6.3899999999999998E-2</v>
      </c>
      <c r="E27" s="11" t="s">
        <v>479</v>
      </c>
      <c r="F27" s="11"/>
      <c r="G27" s="11"/>
      <c r="H27" s="257"/>
    </row>
    <row r="28" spans="3:8" ht="45" x14ac:dyDescent="0.25">
      <c r="C28" s="204" t="s">
        <v>450</v>
      </c>
      <c r="D28" s="208">
        <v>0.9</v>
      </c>
      <c r="E28" s="11"/>
      <c r="F28" s="11"/>
      <c r="G28" s="11"/>
      <c r="H28" s="257" t="s">
        <v>480</v>
      </c>
    </row>
    <row r="29" spans="3:8" x14ac:dyDescent="0.25">
      <c r="C29" s="204" t="s">
        <v>481</v>
      </c>
      <c r="D29" s="11">
        <v>9.6648750000000016E-3</v>
      </c>
      <c r="E29" s="11" t="s">
        <v>455</v>
      </c>
      <c r="F29" s="223">
        <v>3.658166161998487E-2</v>
      </c>
      <c r="G29" s="11" t="s">
        <v>456</v>
      </c>
      <c r="H29" s="257"/>
    </row>
    <row r="30" spans="3:8" x14ac:dyDescent="0.25">
      <c r="C30" s="204" t="s">
        <v>223</v>
      </c>
      <c r="D30" s="228">
        <v>24034.079581875001</v>
      </c>
      <c r="E30" s="11" t="s">
        <v>2</v>
      </c>
      <c r="F30" s="11"/>
      <c r="G30" s="11"/>
      <c r="H30" s="257"/>
    </row>
    <row r="31" spans="3:8" ht="45" x14ac:dyDescent="0.25">
      <c r="C31" s="204" t="s">
        <v>451</v>
      </c>
      <c r="D31" s="209">
        <v>1.8</v>
      </c>
      <c r="E31" s="11" t="s">
        <v>482</v>
      </c>
      <c r="F31" s="22">
        <v>0.81647999999999998</v>
      </c>
      <c r="G31" s="11" t="s">
        <v>136</v>
      </c>
      <c r="H31" s="257" t="s">
        <v>483</v>
      </c>
    </row>
    <row r="32" spans="3:8" x14ac:dyDescent="0.25">
      <c r="C32" s="204" t="s">
        <v>452</v>
      </c>
      <c r="D32" s="210">
        <v>0.99</v>
      </c>
      <c r="E32" s="11"/>
      <c r="F32" s="22"/>
      <c r="G32" s="11"/>
      <c r="H32" s="257"/>
    </row>
    <row r="33" spans="2:8" x14ac:dyDescent="0.25">
      <c r="C33" s="204" t="s">
        <v>484</v>
      </c>
      <c r="D33" s="223">
        <v>6.4229283694315534E-2</v>
      </c>
      <c r="E33" s="11" t="s">
        <v>455</v>
      </c>
      <c r="F33" s="223">
        <v>0.24310856810868864</v>
      </c>
      <c r="G33" s="11" t="s">
        <v>456</v>
      </c>
      <c r="H33" s="257"/>
    </row>
    <row r="34" spans="2:8" x14ac:dyDescent="0.25">
      <c r="C34" s="204" t="s">
        <v>485</v>
      </c>
      <c r="D34" s="228">
        <v>159721.85008042067</v>
      </c>
      <c r="E34" s="11" t="s">
        <v>2</v>
      </c>
      <c r="F34" s="22"/>
      <c r="G34" s="11"/>
      <c r="H34" s="257"/>
    </row>
    <row r="35" spans="2:8" x14ac:dyDescent="0.25">
      <c r="C35" s="204" t="s">
        <v>486</v>
      </c>
      <c r="D35" s="223">
        <v>39.950000000000003</v>
      </c>
      <c r="E35" s="11" t="s">
        <v>487</v>
      </c>
      <c r="F35" s="22"/>
      <c r="G35" s="11"/>
      <c r="H35" s="257"/>
    </row>
    <row r="36" spans="2:8" ht="30" x14ac:dyDescent="0.25">
      <c r="C36" s="204" t="s">
        <v>453</v>
      </c>
      <c r="D36" s="209">
        <v>0</v>
      </c>
      <c r="E36" s="11"/>
      <c r="F36" s="22"/>
      <c r="G36" s="11"/>
      <c r="H36" s="257" t="s">
        <v>488</v>
      </c>
    </row>
    <row r="37" spans="2:8" x14ac:dyDescent="0.25">
      <c r="C37" s="204" t="s">
        <v>489</v>
      </c>
      <c r="D37" s="244">
        <v>0</v>
      </c>
      <c r="E37" s="11" t="s">
        <v>455</v>
      </c>
      <c r="F37" s="223">
        <v>0</v>
      </c>
      <c r="G37" s="11" t="s">
        <v>456</v>
      </c>
      <c r="H37" s="257"/>
    </row>
    <row r="38" spans="2:8" x14ac:dyDescent="0.25">
      <c r="C38" s="204" t="s">
        <v>490</v>
      </c>
      <c r="D38" s="228">
        <v>0</v>
      </c>
      <c r="E38" s="11" t="s">
        <v>2</v>
      </c>
      <c r="F38" s="11"/>
      <c r="G38" s="11"/>
      <c r="H38" s="257"/>
    </row>
    <row r="39" spans="2:8" x14ac:dyDescent="0.25">
      <c r="C39" s="204"/>
      <c r="D39" s="11"/>
      <c r="E39" s="11"/>
      <c r="F39" s="11"/>
      <c r="G39" s="11"/>
      <c r="H39" s="257"/>
    </row>
    <row r="40" spans="2:8" x14ac:dyDescent="0.25">
      <c r="C40" s="212" t="s">
        <v>454</v>
      </c>
      <c r="D40" s="213">
        <v>7.3999999999999996E-2</v>
      </c>
      <c r="E40" s="214" t="s">
        <v>455</v>
      </c>
      <c r="F40" s="215">
        <v>0.28000000000000003</v>
      </c>
      <c r="G40" s="11" t="s">
        <v>456</v>
      </c>
    </row>
    <row r="41" spans="2:8" ht="15.75" thickBot="1" x14ac:dyDescent="0.3">
      <c r="C41" s="216" t="s">
        <v>457</v>
      </c>
      <c r="D41" s="217">
        <v>183755.93</v>
      </c>
      <c r="E41" s="218" t="s">
        <v>2</v>
      </c>
      <c r="F41" s="219"/>
      <c r="G41" s="219"/>
    </row>
    <row r="44" spans="2:8" x14ac:dyDescent="0.25">
      <c r="B44" s="246" t="s">
        <v>502</v>
      </c>
    </row>
    <row r="45" spans="2:8" x14ac:dyDescent="0.25">
      <c r="C45" s="204" t="s">
        <v>458</v>
      </c>
      <c r="D45" s="19">
        <v>1004916.0625017546</v>
      </c>
      <c r="E45" s="11"/>
      <c r="F45" s="11"/>
      <c r="G45" s="11"/>
      <c r="H45" s="257"/>
    </row>
    <row r="46" spans="2:8" x14ac:dyDescent="0.25">
      <c r="C46" s="204" t="s">
        <v>459</v>
      </c>
      <c r="D46" s="24">
        <v>5210</v>
      </c>
      <c r="E46" s="11"/>
      <c r="F46" s="11"/>
      <c r="G46" s="11"/>
      <c r="H46" s="257">
        <v>1993</v>
      </c>
    </row>
    <row r="47" spans="2:8" x14ac:dyDescent="0.25">
      <c r="C47" s="204" t="s">
        <v>460</v>
      </c>
      <c r="D47" s="223">
        <v>13175.03</v>
      </c>
      <c r="E47" s="11"/>
      <c r="F47" s="11"/>
      <c r="G47" s="11"/>
      <c r="H47" s="257"/>
    </row>
    <row r="48" spans="2:8" x14ac:dyDescent="0.25">
      <c r="C48" s="212" t="s">
        <v>461</v>
      </c>
      <c r="D48" s="224">
        <v>2541228.2669755262</v>
      </c>
      <c r="E48" s="11"/>
      <c r="F48" s="11"/>
      <c r="G48" s="11"/>
      <c r="H48" s="257"/>
    </row>
    <row r="49" spans="2:8" x14ac:dyDescent="0.25">
      <c r="C49" s="204"/>
      <c r="D49" s="11"/>
      <c r="E49" s="11"/>
      <c r="F49" s="11"/>
      <c r="G49" s="11"/>
      <c r="H49" s="257"/>
    </row>
    <row r="50" spans="2:8" ht="15.75" thickBot="1" x14ac:dyDescent="0.3">
      <c r="C50" s="220" t="s">
        <v>330</v>
      </c>
      <c r="D50" s="221"/>
      <c r="E50" s="221"/>
      <c r="F50" s="222"/>
      <c r="G50" s="222"/>
      <c r="H50" s="258"/>
    </row>
    <row r="51" spans="2:8" ht="15.75" thickTop="1" x14ac:dyDescent="0.25">
      <c r="C51" s="164" t="s">
        <v>331</v>
      </c>
      <c r="D51" s="225">
        <v>152000</v>
      </c>
      <c r="E51" s="167"/>
      <c r="F51" s="178">
        <v>6</v>
      </c>
      <c r="G51" s="167" t="s">
        <v>389</v>
      </c>
      <c r="H51" s="259"/>
    </row>
    <row r="52" spans="2:8" x14ac:dyDescent="0.25">
      <c r="C52" s="164" t="s">
        <v>332</v>
      </c>
      <c r="D52" s="225">
        <v>508000</v>
      </c>
      <c r="E52" s="167"/>
      <c r="F52" s="166">
        <v>20</v>
      </c>
      <c r="G52" s="167" t="s">
        <v>389</v>
      </c>
      <c r="H52" s="259"/>
    </row>
    <row r="53" spans="2:8" x14ac:dyDescent="0.25">
      <c r="C53" s="164" t="s">
        <v>333</v>
      </c>
      <c r="D53" s="225">
        <v>254000</v>
      </c>
      <c r="E53" s="167"/>
      <c r="F53" s="166">
        <v>10</v>
      </c>
      <c r="G53" s="167" t="s">
        <v>389</v>
      </c>
      <c r="H53" s="259"/>
    </row>
    <row r="54" spans="2:8" x14ac:dyDescent="0.25">
      <c r="C54" s="164" t="s">
        <v>334</v>
      </c>
      <c r="D54" s="225">
        <v>102000</v>
      </c>
      <c r="E54" s="167"/>
      <c r="F54" s="178">
        <v>4</v>
      </c>
      <c r="G54" s="167" t="s">
        <v>389</v>
      </c>
      <c r="H54" s="259"/>
    </row>
    <row r="55" spans="2:8" x14ac:dyDescent="0.25">
      <c r="C55" s="226" t="s">
        <v>335</v>
      </c>
      <c r="D55" s="227">
        <v>1016000</v>
      </c>
      <c r="E55" s="167"/>
      <c r="F55" s="167"/>
      <c r="G55" s="167"/>
      <c r="H55" s="259"/>
    </row>
    <row r="56" spans="2:8" x14ac:dyDescent="0.25">
      <c r="C56" s="204"/>
      <c r="D56" s="228"/>
      <c r="E56" s="11"/>
      <c r="F56" s="11"/>
      <c r="G56" s="11"/>
      <c r="H56" s="257"/>
    </row>
    <row r="57" spans="2:8" ht="15.75" thickBot="1" x14ac:dyDescent="0.3">
      <c r="C57" s="229" t="s">
        <v>462</v>
      </c>
      <c r="D57" s="230">
        <v>3557228.2669755262</v>
      </c>
      <c r="E57" s="219"/>
      <c r="F57" s="219"/>
      <c r="G57" s="219"/>
      <c r="H57" s="260"/>
    </row>
    <row r="58" spans="2:8" x14ac:dyDescent="0.25">
      <c r="C58" s="262"/>
      <c r="D58" s="263"/>
    </row>
    <row r="59" spans="2:8" ht="15.75" thickBot="1" x14ac:dyDescent="0.3">
      <c r="B59" s="246" t="s">
        <v>339</v>
      </c>
      <c r="C59" s="119"/>
    </row>
    <row r="60" spans="2:8" x14ac:dyDescent="0.25">
      <c r="C60" s="231" t="s">
        <v>426</v>
      </c>
      <c r="D60" s="177"/>
      <c r="E60" s="232"/>
      <c r="F60" s="232"/>
      <c r="G60" s="232"/>
      <c r="H60" s="261"/>
    </row>
    <row r="61" spans="2:8" x14ac:dyDescent="0.25">
      <c r="C61" s="233" t="s">
        <v>463</v>
      </c>
      <c r="D61" s="167">
        <v>30</v>
      </c>
      <c r="E61" s="11"/>
      <c r="F61" s="11"/>
      <c r="G61" s="11"/>
      <c r="H61" s="257" t="s">
        <v>464</v>
      </c>
    </row>
    <row r="62" spans="2:8" x14ac:dyDescent="0.25">
      <c r="C62" s="233" t="s">
        <v>212</v>
      </c>
      <c r="D62" s="234">
        <v>0.06</v>
      </c>
      <c r="E62" s="11"/>
      <c r="F62" s="11"/>
      <c r="G62" s="11"/>
      <c r="H62" s="257"/>
    </row>
    <row r="63" spans="2:8" x14ac:dyDescent="0.25">
      <c r="C63" s="226" t="s">
        <v>207</v>
      </c>
      <c r="D63" s="227">
        <v>258000</v>
      </c>
      <c r="E63" s="11"/>
      <c r="F63" s="11"/>
      <c r="G63" s="11"/>
      <c r="H63" s="257"/>
    </row>
    <row r="64" spans="2:8" x14ac:dyDescent="0.25">
      <c r="C64" s="164" t="s">
        <v>427</v>
      </c>
      <c r="D64" s="235">
        <v>183755.92966229568</v>
      </c>
      <c r="E64" s="11"/>
      <c r="F64" s="11"/>
      <c r="G64" s="11"/>
      <c r="H64" s="257"/>
    </row>
    <row r="65" spans="3:8" x14ac:dyDescent="0.25">
      <c r="C65" s="164"/>
      <c r="D65" s="167"/>
      <c r="E65" s="11"/>
      <c r="F65" s="11"/>
      <c r="G65" s="11"/>
      <c r="H65" s="257"/>
    </row>
    <row r="66" spans="3:8" x14ac:dyDescent="0.25">
      <c r="C66" s="236" t="s">
        <v>341</v>
      </c>
      <c r="D66" s="237">
        <v>441755.92966229568</v>
      </c>
      <c r="E66" s="11"/>
      <c r="F66" s="11"/>
      <c r="G66" s="11"/>
      <c r="H66" s="257"/>
    </row>
    <row r="67" spans="3:8" ht="15.75" thickBot="1" x14ac:dyDescent="0.3">
      <c r="C67" s="238" t="s">
        <v>342</v>
      </c>
      <c r="D67" s="239">
        <v>0.17764424163406206</v>
      </c>
      <c r="E67" s="240">
        <v>0.67238547174134022</v>
      </c>
      <c r="F67" s="241" t="s">
        <v>343</v>
      </c>
      <c r="G67" s="219"/>
      <c r="H67" s="260"/>
    </row>
  </sheetData>
  <mergeCells count="3">
    <mergeCell ref="C6:E6"/>
    <mergeCell ref="F26:G26"/>
    <mergeCell ref="B1:E1"/>
  </mergeCells>
  <dataValidations disablePrompts="1" count="1">
    <dataValidation type="list" allowBlank="1" showInputMessage="1" showErrorMessage="1" sqref="D18" xr:uid="{552C3D1C-7A6A-4C97-8E2E-CBD834ED07FD}">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3C150-907C-401D-AB0A-6972DA9CAECC}">
  <sheetPr>
    <tabColor theme="9" tint="0.79998168889431442"/>
  </sheetPr>
  <dimension ref="A1:I93"/>
  <sheetViews>
    <sheetView topLeftCell="A17" zoomScale="40" zoomScaleNormal="40" workbookViewId="0">
      <selection activeCell="B70" sqref="B70"/>
    </sheetView>
  </sheetViews>
  <sheetFormatPr defaultRowHeight="15" x14ac:dyDescent="0.25"/>
  <cols>
    <col min="3" max="3" width="27.85546875" bestFit="1" customWidth="1"/>
    <col min="4" max="4" width="13.140625" bestFit="1" customWidth="1"/>
    <col min="6" max="6" width="49.5703125" bestFit="1" customWidth="1"/>
  </cols>
  <sheetData>
    <row r="1" spans="1:6" ht="45" x14ac:dyDescent="0.25">
      <c r="A1" s="252" t="s">
        <v>496</v>
      </c>
      <c r="B1" s="277" t="s">
        <v>516</v>
      </c>
      <c r="C1" s="277"/>
      <c r="D1" s="277"/>
      <c r="E1" s="277"/>
    </row>
    <row r="3" spans="1:6" ht="23.25" x14ac:dyDescent="0.35">
      <c r="B3" s="249" t="s">
        <v>512</v>
      </c>
    </row>
    <row r="4" spans="1:6" ht="23.25" x14ac:dyDescent="0.35">
      <c r="B4" s="249"/>
    </row>
    <row r="5" spans="1:6" ht="21" x14ac:dyDescent="0.35">
      <c r="B5" s="248" t="s">
        <v>498</v>
      </c>
      <c r="D5" t="s">
        <v>505</v>
      </c>
    </row>
    <row r="6" spans="1:6" ht="13.5" customHeight="1" x14ac:dyDescent="0.25">
      <c r="C6" s="286" t="s">
        <v>127</v>
      </c>
      <c r="D6" s="287"/>
      <c r="E6" s="288"/>
    </row>
    <row r="7" spans="1:6" ht="13.5" customHeight="1" x14ac:dyDescent="0.25">
      <c r="C7" s="26"/>
      <c r="D7" s="26" t="s">
        <v>38</v>
      </c>
      <c r="E7" s="26" t="s">
        <v>126</v>
      </c>
    </row>
    <row r="8" spans="1:6" ht="13.5" customHeight="1" x14ac:dyDescent="0.25">
      <c r="C8" s="11" t="s">
        <v>124</v>
      </c>
      <c r="D8" s="23">
        <f>'Case 3 EC-MF-NF Cost Summary'!D7</f>
        <v>1.7740981667652276</v>
      </c>
      <c r="E8" s="23">
        <f>'Case 3 EC-MF-NF Cost Summary'!E7</f>
        <v>1.6853932584269662</v>
      </c>
    </row>
    <row r="9" spans="1:6" ht="13.5" customHeight="1" x14ac:dyDescent="0.25">
      <c r="C9" s="11" t="s">
        <v>125</v>
      </c>
      <c r="D9" s="23">
        <f>'Case 3 EC-MF-NF Cost Summary'!F7</f>
        <v>2.7202838557066822</v>
      </c>
      <c r="E9" s="23">
        <f>'Case 3 EC-MF-NF Cost Summary'!G7</f>
        <v>2.584269662921348</v>
      </c>
    </row>
    <row r="10" spans="1:6" ht="13.5" customHeight="1" x14ac:dyDescent="0.25"/>
    <row r="11" spans="1:6" ht="23.45" customHeight="1" x14ac:dyDescent="0.3">
      <c r="B11" s="247" t="s">
        <v>503</v>
      </c>
      <c r="C11" s="246"/>
    </row>
    <row r="12" spans="1:6" x14ac:dyDescent="0.25">
      <c r="C12" s="245" t="s">
        <v>0</v>
      </c>
      <c r="D12" s="245" t="s">
        <v>1</v>
      </c>
      <c r="E12" s="245" t="s">
        <v>74</v>
      </c>
      <c r="F12" s="245" t="s">
        <v>492</v>
      </c>
    </row>
    <row r="13" spans="1:6" x14ac:dyDescent="0.25">
      <c r="C13" s="11" t="s">
        <v>396</v>
      </c>
      <c r="D13" s="202">
        <v>1756541</v>
      </c>
      <c r="E13" s="11" t="s">
        <v>398</v>
      </c>
      <c r="F13" s="11" t="s">
        <v>436</v>
      </c>
    </row>
    <row r="14" spans="1:6" x14ac:dyDescent="0.25">
      <c r="C14" s="11" t="s">
        <v>400</v>
      </c>
      <c r="D14" s="11">
        <f>'WAVE IO'!E18</f>
        <v>2</v>
      </c>
      <c r="E14" s="11"/>
      <c r="F14" s="11" t="s">
        <v>399</v>
      </c>
    </row>
    <row r="15" spans="1:6" x14ac:dyDescent="0.25">
      <c r="C15" s="11" t="s">
        <v>401</v>
      </c>
      <c r="D15" s="11">
        <f>'WAVE IO'!E19</f>
        <v>20</v>
      </c>
      <c r="E15" s="11"/>
      <c r="F15" s="11" t="s">
        <v>399</v>
      </c>
    </row>
    <row r="16" spans="1:6" x14ac:dyDescent="0.25">
      <c r="C16" s="11" t="s">
        <v>432</v>
      </c>
      <c r="D16" s="11">
        <f>'WAVE IO'!E20</f>
        <v>40</v>
      </c>
      <c r="E16" s="11"/>
      <c r="F16" s="11" t="s">
        <v>399</v>
      </c>
    </row>
    <row r="17" spans="2:6" x14ac:dyDescent="0.25">
      <c r="C17" s="11" t="s">
        <v>433</v>
      </c>
      <c r="D17" s="11">
        <f>D13/D16</f>
        <v>43913.525000000001</v>
      </c>
      <c r="E17" s="11" t="s">
        <v>398</v>
      </c>
      <c r="F17" s="11" t="s">
        <v>418</v>
      </c>
    </row>
    <row r="18" spans="2:6" x14ac:dyDescent="0.25">
      <c r="C18" s="11" t="s">
        <v>434</v>
      </c>
      <c r="D18" s="24">
        <f>D17/24/60</f>
        <v>30.495503472222222</v>
      </c>
      <c r="E18" s="11" t="s">
        <v>390</v>
      </c>
      <c r="F18" s="11" t="s">
        <v>418</v>
      </c>
    </row>
    <row r="19" spans="2:6" x14ac:dyDescent="0.25">
      <c r="C19" s="11" t="s">
        <v>366</v>
      </c>
      <c r="D19" s="24">
        <f>D18*D15</f>
        <v>609.91006944444439</v>
      </c>
      <c r="E19" s="11" t="s">
        <v>390</v>
      </c>
      <c r="F19" s="11" t="s">
        <v>418</v>
      </c>
    </row>
    <row r="20" spans="2:6" x14ac:dyDescent="0.25">
      <c r="C20" s="11" t="s">
        <v>353</v>
      </c>
      <c r="D20" s="11">
        <v>100</v>
      </c>
      <c r="E20" s="11" t="s">
        <v>292</v>
      </c>
      <c r="F20" s="11" t="s">
        <v>399</v>
      </c>
    </row>
    <row r="21" spans="2:6" x14ac:dyDescent="0.25">
      <c r="C21" s="11" t="s">
        <v>429</v>
      </c>
      <c r="D21" s="11">
        <v>77</v>
      </c>
      <c r="E21" s="11" t="s">
        <v>47</v>
      </c>
      <c r="F21" s="11" t="s">
        <v>428</v>
      </c>
    </row>
    <row r="22" spans="2:6" x14ac:dyDescent="0.25">
      <c r="C22" s="11" t="s">
        <v>430</v>
      </c>
      <c r="D22" s="11">
        <f>D21*D15</f>
        <v>1540</v>
      </c>
      <c r="E22" s="11" t="s">
        <v>47</v>
      </c>
      <c r="F22" s="11"/>
    </row>
    <row r="23" spans="2:6" x14ac:dyDescent="0.25">
      <c r="C23" s="11" t="s">
        <v>435</v>
      </c>
      <c r="D23" s="24">
        <f>D20*D22/277.125</f>
        <v>555.70590888588185</v>
      </c>
      <c r="E23" s="11" t="s">
        <v>390</v>
      </c>
      <c r="F23" s="11"/>
    </row>
    <row r="25" spans="2:6" ht="21" x14ac:dyDescent="0.35">
      <c r="B25" s="248" t="s">
        <v>509</v>
      </c>
      <c r="D25" t="s">
        <v>499</v>
      </c>
      <c r="E25" t="s">
        <v>508</v>
      </c>
    </row>
    <row r="26" spans="2:6" x14ac:dyDescent="0.25">
      <c r="C26" s="246" t="s">
        <v>420</v>
      </c>
    </row>
    <row r="27" spans="2:6" x14ac:dyDescent="0.25">
      <c r="C27" s="245" t="s">
        <v>0</v>
      </c>
      <c r="D27" s="245" t="s">
        <v>1</v>
      </c>
      <c r="E27" s="245" t="s">
        <v>74</v>
      </c>
      <c r="F27" s="245" t="s">
        <v>69</v>
      </c>
    </row>
    <row r="28" spans="2:6" x14ac:dyDescent="0.25">
      <c r="C28" s="105" t="s">
        <v>363</v>
      </c>
      <c r="D28" s="155">
        <v>211500</v>
      </c>
      <c r="E28" s="11"/>
      <c r="F28" s="105" t="s">
        <v>395</v>
      </c>
    </row>
    <row r="29" spans="2:6" x14ac:dyDescent="0.25">
      <c r="C29" s="105" t="s">
        <v>364</v>
      </c>
      <c r="D29" s="156">
        <v>1100</v>
      </c>
      <c r="E29" s="11"/>
      <c r="F29" s="105" t="s">
        <v>397</v>
      </c>
    </row>
    <row r="30" spans="2:6" x14ac:dyDescent="0.25">
      <c r="C30" s="105" t="s">
        <v>365</v>
      </c>
      <c r="D30" s="157">
        <f>D19</f>
        <v>609.91006944444439</v>
      </c>
      <c r="E30" s="105" t="s">
        <v>390</v>
      </c>
      <c r="F30" s="11" t="s">
        <v>402</v>
      </c>
    </row>
    <row r="31" spans="2:6" x14ac:dyDescent="0.25">
      <c r="C31" s="105" t="s">
        <v>366</v>
      </c>
      <c r="D31" s="158">
        <f>D18</f>
        <v>30.495503472222222</v>
      </c>
      <c r="E31" s="105" t="s">
        <v>390</v>
      </c>
      <c r="F31" s="11" t="s">
        <v>402</v>
      </c>
    </row>
    <row r="32" spans="2:6" x14ac:dyDescent="0.25">
      <c r="C32" s="105" t="s">
        <v>367</v>
      </c>
      <c r="D32" s="159">
        <f>D15</f>
        <v>20</v>
      </c>
      <c r="E32" s="105"/>
      <c r="F32" s="11" t="s">
        <v>403</v>
      </c>
    </row>
    <row r="33" spans="3:6" x14ac:dyDescent="0.25">
      <c r="C33" s="105" t="s">
        <v>368</v>
      </c>
      <c r="D33" s="159">
        <v>80</v>
      </c>
      <c r="E33" s="105" t="s">
        <v>59</v>
      </c>
      <c r="F33" s="11" t="s">
        <v>404</v>
      </c>
    </row>
    <row r="34" spans="3:6" x14ac:dyDescent="0.25">
      <c r="C34" s="105" t="s">
        <v>369</v>
      </c>
      <c r="D34" s="159">
        <v>93</v>
      </c>
      <c r="E34" s="105" t="s">
        <v>59</v>
      </c>
      <c r="F34" s="11" t="s">
        <v>405</v>
      </c>
    </row>
    <row r="35" spans="3:6" x14ac:dyDescent="0.25">
      <c r="C35" s="105" t="s">
        <v>370</v>
      </c>
      <c r="D35" s="160">
        <v>30</v>
      </c>
      <c r="E35" s="105" t="s">
        <v>391</v>
      </c>
      <c r="F35" s="11" t="s">
        <v>403</v>
      </c>
    </row>
    <row r="36" spans="3:6" x14ac:dyDescent="0.25">
      <c r="C36" s="105" t="s">
        <v>371</v>
      </c>
      <c r="D36" s="160">
        <v>30</v>
      </c>
      <c r="E36" s="105" t="s">
        <v>391</v>
      </c>
      <c r="F36" s="11" t="s">
        <v>403</v>
      </c>
    </row>
    <row r="37" spans="3:6" x14ac:dyDescent="0.25">
      <c r="C37" s="105" t="s">
        <v>372</v>
      </c>
      <c r="D37" s="161">
        <v>556</v>
      </c>
      <c r="E37" s="105" t="s">
        <v>390</v>
      </c>
      <c r="F37" s="11" t="s">
        <v>406</v>
      </c>
    </row>
    <row r="38" spans="3:6" x14ac:dyDescent="0.25">
      <c r="C38" s="105" t="s">
        <v>373</v>
      </c>
      <c r="D38" s="160">
        <v>60</v>
      </c>
      <c r="E38" s="105" t="s">
        <v>392</v>
      </c>
      <c r="F38" s="11" t="s">
        <v>407</v>
      </c>
    </row>
    <row r="39" spans="3:6" x14ac:dyDescent="0.25">
      <c r="C39" s="105" t="s">
        <v>374</v>
      </c>
      <c r="D39" s="160">
        <v>4.3</v>
      </c>
      <c r="E39" s="105" t="s">
        <v>392</v>
      </c>
      <c r="F39" s="11" t="s">
        <v>408</v>
      </c>
    </row>
    <row r="40" spans="3:6" x14ac:dyDescent="0.25">
      <c r="C40" s="105" t="s">
        <v>375</v>
      </c>
      <c r="D40" s="162">
        <f>'WAVE IO'!D10</f>
        <v>0.37692307692307692</v>
      </c>
      <c r="E40" s="105" t="s">
        <v>393</v>
      </c>
      <c r="F40" s="11" t="s">
        <v>416</v>
      </c>
    </row>
    <row r="41" spans="3:6" x14ac:dyDescent="0.25">
      <c r="C41" s="105" t="s">
        <v>376</v>
      </c>
      <c r="D41" s="163">
        <v>300</v>
      </c>
      <c r="E41" s="105" t="s">
        <v>142</v>
      </c>
      <c r="F41" s="11" t="s">
        <v>417</v>
      </c>
    </row>
    <row r="42" spans="3:6" x14ac:dyDescent="0.25">
      <c r="C42" s="105" t="s">
        <v>377</v>
      </c>
      <c r="D42" s="163">
        <v>1.1679999999999999</v>
      </c>
      <c r="E42" s="105"/>
      <c r="F42" s="11"/>
    </row>
    <row r="43" spans="3:6" x14ac:dyDescent="0.25">
      <c r="C43" s="105" t="s">
        <v>378</v>
      </c>
      <c r="D43" s="163">
        <v>12</v>
      </c>
      <c r="E43" s="105" t="s">
        <v>59</v>
      </c>
      <c r="F43" s="11" t="s">
        <v>409</v>
      </c>
    </row>
    <row r="44" spans="3:6" x14ac:dyDescent="0.25">
      <c r="C44" s="105" t="s">
        <v>379</v>
      </c>
      <c r="D44" s="163">
        <v>10</v>
      </c>
      <c r="E44" s="105" t="s">
        <v>394</v>
      </c>
      <c r="F44" s="11" t="s">
        <v>409</v>
      </c>
    </row>
    <row r="45" spans="3:6" x14ac:dyDescent="0.25">
      <c r="C45" s="105" t="s">
        <v>290</v>
      </c>
      <c r="D45" s="163">
        <v>0</v>
      </c>
      <c r="E45" s="105"/>
      <c r="F45" s="11" t="s">
        <v>410</v>
      </c>
    </row>
    <row r="46" spans="3:6" x14ac:dyDescent="0.25">
      <c r="C46" s="167" t="s">
        <v>380</v>
      </c>
      <c r="D46" s="166">
        <v>100</v>
      </c>
      <c r="E46" s="167" t="s">
        <v>385</v>
      </c>
      <c r="F46" s="11" t="s">
        <v>411</v>
      </c>
    </row>
    <row r="47" spans="3:6" x14ac:dyDescent="0.25">
      <c r="C47" s="167" t="s">
        <v>381</v>
      </c>
      <c r="D47" s="166">
        <v>70000</v>
      </c>
      <c r="E47" s="167" t="s">
        <v>386</v>
      </c>
      <c r="F47" s="11" t="s">
        <v>411</v>
      </c>
    </row>
    <row r="48" spans="3:6" x14ac:dyDescent="0.25">
      <c r="C48" s="167" t="s">
        <v>382</v>
      </c>
      <c r="D48" s="166">
        <v>5</v>
      </c>
      <c r="E48" s="167" t="s">
        <v>387</v>
      </c>
      <c r="F48" s="11" t="s">
        <v>412</v>
      </c>
    </row>
    <row r="49" spans="2:6" x14ac:dyDescent="0.25">
      <c r="C49" s="167" t="s">
        <v>383</v>
      </c>
      <c r="D49" s="166">
        <v>10</v>
      </c>
      <c r="E49" s="167" t="s">
        <v>388</v>
      </c>
      <c r="F49" s="11" t="s">
        <v>412</v>
      </c>
    </row>
    <row r="50" spans="2:6" x14ac:dyDescent="0.25">
      <c r="C50" s="167" t="s">
        <v>384</v>
      </c>
      <c r="D50" s="166">
        <v>10</v>
      </c>
      <c r="E50" s="167" t="s">
        <v>388</v>
      </c>
      <c r="F50" s="11" t="s">
        <v>412</v>
      </c>
    </row>
    <row r="51" spans="2:6" ht="15.75" thickBot="1" x14ac:dyDescent="0.3">
      <c r="C51" s="119"/>
      <c r="D51" s="119"/>
      <c r="E51" s="119"/>
    </row>
    <row r="52" spans="2:6" x14ac:dyDescent="0.25">
      <c r="C52" s="175" t="s">
        <v>330</v>
      </c>
      <c r="D52" s="177"/>
      <c r="E52" s="177"/>
    </row>
    <row r="53" spans="2:6" x14ac:dyDescent="0.25">
      <c r="C53" s="164" t="s">
        <v>331</v>
      </c>
      <c r="D53" s="178">
        <v>6</v>
      </c>
      <c r="E53" s="167" t="s">
        <v>389</v>
      </c>
    </row>
    <row r="54" spans="2:6" x14ac:dyDescent="0.25">
      <c r="C54" s="164" t="s">
        <v>332</v>
      </c>
      <c r="D54" s="166">
        <v>20</v>
      </c>
      <c r="E54" s="167" t="s">
        <v>389</v>
      </c>
    </row>
    <row r="55" spans="2:6" x14ac:dyDescent="0.25">
      <c r="C55" s="164" t="s">
        <v>333</v>
      </c>
      <c r="D55" s="166">
        <v>10</v>
      </c>
      <c r="E55" s="167" t="s">
        <v>389</v>
      </c>
    </row>
    <row r="56" spans="2:6" ht="15.75" thickBot="1" x14ac:dyDescent="0.3">
      <c r="C56" s="168" t="s">
        <v>334</v>
      </c>
      <c r="D56" s="179">
        <v>4</v>
      </c>
      <c r="E56" s="170" t="s">
        <v>389</v>
      </c>
    </row>
    <row r="59" spans="2:6" ht="21" x14ac:dyDescent="0.35">
      <c r="B59" s="248" t="s">
        <v>510</v>
      </c>
      <c r="E59" t="s">
        <v>511</v>
      </c>
    </row>
    <row r="60" spans="2:6" ht="15.75" thickBot="1" x14ac:dyDescent="0.3">
      <c r="B60" s="246" t="s">
        <v>501</v>
      </c>
    </row>
    <row r="61" spans="2:6" x14ac:dyDescent="0.25">
      <c r="B61" s="246"/>
      <c r="C61" s="191"/>
      <c r="D61" s="126"/>
    </row>
    <row r="62" spans="2:6" x14ac:dyDescent="0.25">
      <c r="B62" s="246"/>
      <c r="C62" s="127" t="s">
        <v>322</v>
      </c>
      <c r="D62" s="145">
        <v>11555.559126765964</v>
      </c>
    </row>
    <row r="63" spans="2:6" x14ac:dyDescent="0.25">
      <c r="B63" s="246"/>
      <c r="C63" s="127" t="s">
        <v>161</v>
      </c>
      <c r="D63" s="145">
        <v>0</v>
      </c>
    </row>
    <row r="64" spans="2:6" x14ac:dyDescent="0.25">
      <c r="B64" s="246"/>
      <c r="C64" s="127" t="s">
        <v>422</v>
      </c>
      <c r="D64" s="145">
        <v>3000</v>
      </c>
    </row>
    <row r="65" spans="2:9" x14ac:dyDescent="0.25">
      <c r="B65" s="246"/>
      <c r="C65" s="127" t="s">
        <v>215</v>
      </c>
      <c r="D65" s="145">
        <v>4000</v>
      </c>
    </row>
    <row r="66" spans="2:9" x14ac:dyDescent="0.25">
      <c r="B66" s="246"/>
      <c r="C66" s="127" t="s">
        <v>423</v>
      </c>
      <c r="D66" s="145">
        <v>1000</v>
      </c>
    </row>
    <row r="67" spans="2:9" ht="15.75" thickBot="1" x14ac:dyDescent="0.3">
      <c r="B67" s="246"/>
      <c r="C67" s="192" t="s">
        <v>424</v>
      </c>
      <c r="D67" s="193">
        <v>16000</v>
      </c>
    </row>
    <row r="68" spans="2:9" ht="15.75" thickBot="1" x14ac:dyDescent="0.3">
      <c r="B68" s="246"/>
      <c r="C68" s="132" t="s">
        <v>425</v>
      </c>
      <c r="D68" s="194">
        <v>35555.559126765962</v>
      </c>
    </row>
    <row r="69" spans="2:9" x14ac:dyDescent="0.25">
      <c r="B69" s="246"/>
    </row>
    <row r="70" spans="2:9" ht="15.75" thickBot="1" x14ac:dyDescent="0.3">
      <c r="B70" s="246" t="s">
        <v>502</v>
      </c>
    </row>
    <row r="71" spans="2:9" ht="15.75" thickBot="1" x14ac:dyDescent="0.3">
      <c r="B71" s="246"/>
      <c r="C71" s="171" t="s">
        <v>329</v>
      </c>
      <c r="D71" s="172">
        <v>801970.88872908382</v>
      </c>
      <c r="E71" s="173"/>
      <c r="F71" s="173"/>
      <c r="G71" s="173"/>
      <c r="H71" s="173"/>
      <c r="I71" s="181"/>
    </row>
    <row r="72" spans="2:9" ht="15.75" thickBot="1" x14ac:dyDescent="0.3">
      <c r="B72" s="246"/>
      <c r="C72" s="119"/>
      <c r="D72" s="174"/>
      <c r="E72" s="119"/>
      <c r="F72" s="119"/>
      <c r="G72" s="119"/>
      <c r="H72" s="119"/>
      <c r="I72" s="119"/>
    </row>
    <row r="73" spans="2:9" x14ac:dyDescent="0.25">
      <c r="B73" s="246"/>
      <c r="C73" s="175" t="s">
        <v>330</v>
      </c>
      <c r="D73" s="176"/>
      <c r="E73" s="177"/>
      <c r="F73" s="177"/>
      <c r="G73" s="177"/>
      <c r="H73" s="177"/>
      <c r="I73" s="182"/>
    </row>
    <row r="74" spans="2:9" x14ac:dyDescent="0.25">
      <c r="B74" s="246"/>
      <c r="C74" s="164" t="s">
        <v>331</v>
      </c>
      <c r="D74" s="165">
        <v>48000</v>
      </c>
      <c r="E74" s="167"/>
      <c r="F74" s="178">
        <v>6</v>
      </c>
      <c r="G74" s="167" t="s">
        <v>389</v>
      </c>
      <c r="H74" s="167"/>
      <c r="I74" s="183"/>
    </row>
    <row r="75" spans="2:9" x14ac:dyDescent="0.25">
      <c r="B75" s="246"/>
      <c r="C75" s="164" t="s">
        <v>332</v>
      </c>
      <c r="D75" s="165">
        <v>160000</v>
      </c>
      <c r="E75" s="167"/>
      <c r="F75" s="166">
        <v>20</v>
      </c>
      <c r="G75" s="167" t="s">
        <v>389</v>
      </c>
      <c r="H75" s="167"/>
      <c r="I75" s="183"/>
    </row>
    <row r="76" spans="2:9" x14ac:dyDescent="0.25">
      <c r="B76" s="246"/>
      <c r="C76" s="164" t="s">
        <v>333</v>
      </c>
      <c r="D76" s="165">
        <v>80000</v>
      </c>
      <c r="E76" s="167"/>
      <c r="F76" s="166">
        <v>10</v>
      </c>
      <c r="G76" s="167" t="s">
        <v>389</v>
      </c>
      <c r="H76" s="167"/>
      <c r="I76" s="183"/>
    </row>
    <row r="77" spans="2:9" ht="15.75" thickBot="1" x14ac:dyDescent="0.3">
      <c r="B77" s="246"/>
      <c r="C77" s="168" t="s">
        <v>334</v>
      </c>
      <c r="D77" s="169">
        <v>32000</v>
      </c>
      <c r="E77" s="170"/>
      <c r="F77" s="179">
        <v>4</v>
      </c>
      <c r="G77" s="170" t="s">
        <v>389</v>
      </c>
      <c r="H77" s="170"/>
      <c r="I77" s="184"/>
    </row>
    <row r="78" spans="2:9" ht="15.75" thickBot="1" x14ac:dyDescent="0.3">
      <c r="B78" s="246"/>
      <c r="C78" s="171" t="s">
        <v>335</v>
      </c>
      <c r="D78" s="185">
        <v>320000</v>
      </c>
      <c r="E78" s="173"/>
      <c r="F78" s="173"/>
      <c r="G78" s="173"/>
      <c r="H78" s="173"/>
      <c r="I78" s="181"/>
    </row>
    <row r="79" spans="2:9" x14ac:dyDescent="0.25">
      <c r="B79" s="246"/>
    </row>
    <row r="80" spans="2:9" ht="15.75" thickBot="1" x14ac:dyDescent="0.3">
      <c r="B80" s="246" t="s">
        <v>339</v>
      </c>
    </row>
    <row r="81" spans="3:9" ht="16.5" thickBot="1" x14ac:dyDescent="0.3">
      <c r="C81" s="186" t="s">
        <v>336</v>
      </c>
      <c r="D81" s="187">
        <v>1121970.8887290838</v>
      </c>
      <c r="E81" s="188"/>
      <c r="F81" s="189"/>
      <c r="G81" s="189"/>
      <c r="H81" s="189"/>
      <c r="I81" s="189"/>
    </row>
    <row r="82" spans="3:9" ht="15.75" thickBot="1" x14ac:dyDescent="0.3">
      <c r="C82" s="119"/>
      <c r="D82" s="119"/>
      <c r="E82" s="119"/>
      <c r="F82" s="119"/>
      <c r="G82" s="119"/>
      <c r="H82" s="119"/>
      <c r="I82" s="119"/>
    </row>
    <row r="83" spans="3:9" ht="16.5" thickBot="1" x14ac:dyDescent="0.3">
      <c r="C83" s="186" t="s">
        <v>421</v>
      </c>
      <c r="D83" s="190">
        <v>0.66005436660252736</v>
      </c>
      <c r="E83" s="119"/>
      <c r="F83" s="119"/>
      <c r="G83" s="119"/>
      <c r="H83" s="119"/>
      <c r="I83" s="119"/>
    </row>
    <row r="84" spans="3:9" ht="15.75" thickBot="1" x14ac:dyDescent="0.3"/>
    <row r="85" spans="3:9" x14ac:dyDescent="0.25">
      <c r="C85" s="125" t="s">
        <v>426</v>
      </c>
      <c r="D85" s="126"/>
    </row>
    <row r="86" spans="3:9" x14ac:dyDescent="0.25">
      <c r="C86" s="127"/>
      <c r="D86" s="128"/>
    </row>
    <row r="87" spans="3:9" x14ac:dyDescent="0.25">
      <c r="C87" s="127" t="s">
        <v>207</v>
      </c>
      <c r="D87" s="145">
        <v>82000</v>
      </c>
    </row>
    <row r="88" spans="3:9" x14ac:dyDescent="0.25">
      <c r="C88" s="127" t="s">
        <v>427</v>
      </c>
      <c r="D88" s="195">
        <v>35555.559126765962</v>
      </c>
    </row>
    <row r="89" spans="3:9" x14ac:dyDescent="0.25">
      <c r="C89" s="127"/>
      <c r="D89" s="128"/>
    </row>
    <row r="90" spans="3:9" x14ac:dyDescent="0.25">
      <c r="C90" s="147" t="s">
        <v>341</v>
      </c>
      <c r="D90" s="196">
        <v>117555.55912676596</v>
      </c>
    </row>
    <row r="91" spans="3:9" x14ac:dyDescent="0.25">
      <c r="C91" s="149" t="s">
        <v>342</v>
      </c>
      <c r="D91" s="197">
        <v>5.0020998157641022E-2</v>
      </c>
    </row>
    <row r="92" spans="3:9" x14ac:dyDescent="0.25">
      <c r="C92" s="149" t="s">
        <v>343</v>
      </c>
      <c r="D92" s="198">
        <v>0.18947347786985239</v>
      </c>
    </row>
    <row r="93" spans="3:9" ht="15.75" thickBot="1" x14ac:dyDescent="0.3">
      <c r="C93" s="151" t="s">
        <v>344</v>
      </c>
      <c r="D93" s="199">
        <v>61.695899127634441</v>
      </c>
    </row>
  </sheetData>
  <mergeCells count="2">
    <mergeCell ref="C6:E6"/>
    <mergeCell ref="B1:E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B918-CFB3-4F30-937A-911B758B3560}">
  <sheetPr>
    <tabColor theme="9" tint="0.79998168889431442"/>
  </sheetPr>
  <dimension ref="A1:L97"/>
  <sheetViews>
    <sheetView topLeftCell="A39" zoomScale="70" zoomScaleNormal="70" workbookViewId="0">
      <selection activeCell="B64" sqref="B64:E65"/>
    </sheetView>
  </sheetViews>
  <sheetFormatPr defaultRowHeight="15" x14ac:dyDescent="0.25"/>
  <cols>
    <col min="1" max="1" width="12" customWidth="1"/>
    <col min="2" max="2" width="11.140625" customWidth="1"/>
    <col min="3" max="3" width="24.42578125" customWidth="1"/>
    <col min="4" max="4" width="14.7109375" customWidth="1"/>
    <col min="5" max="5" width="24.42578125" customWidth="1"/>
    <col min="6" max="6" width="57.42578125" bestFit="1" customWidth="1"/>
  </cols>
  <sheetData>
    <row r="1" spans="1:5" ht="45.4" customHeight="1" x14ac:dyDescent="0.25">
      <c r="A1" s="252" t="s">
        <v>496</v>
      </c>
      <c r="B1" s="277" t="s">
        <v>518</v>
      </c>
      <c r="C1" s="277"/>
      <c r="D1" s="277"/>
      <c r="E1" s="277"/>
    </row>
    <row r="3" spans="1:5" ht="23.25" x14ac:dyDescent="0.35">
      <c r="B3" s="249" t="s">
        <v>512</v>
      </c>
    </row>
    <row r="5" spans="1:5" ht="21" x14ac:dyDescent="0.35">
      <c r="B5" s="248" t="s">
        <v>498</v>
      </c>
      <c r="D5" t="s">
        <v>505</v>
      </c>
    </row>
    <row r="6" spans="1:5" x14ac:dyDescent="0.25">
      <c r="C6" s="278" t="s">
        <v>127</v>
      </c>
      <c r="D6" s="278"/>
      <c r="E6" s="278"/>
    </row>
    <row r="7" spans="1:5" x14ac:dyDescent="0.25">
      <c r="C7" s="26"/>
      <c r="D7" s="26" t="s">
        <v>38</v>
      </c>
      <c r="E7" s="26" t="s">
        <v>126</v>
      </c>
    </row>
    <row r="8" spans="1:5" x14ac:dyDescent="0.25">
      <c r="C8" s="11" t="s">
        <v>124</v>
      </c>
      <c r="D8" s="23">
        <f>'Case 2 MF-NF Cost Summary'!D6</f>
        <v>1.6853932584269662</v>
      </c>
      <c r="E8" s="23">
        <f>'Case 2 MF-NF Cost Summary'!E6</f>
        <v>1.5</v>
      </c>
    </row>
    <row r="9" spans="1:5" x14ac:dyDescent="0.25">
      <c r="C9" s="11" t="s">
        <v>125</v>
      </c>
      <c r="D9" s="23">
        <f>'Case 2 MF-NF Cost Summary'!F6</f>
        <v>2.584269662921348</v>
      </c>
      <c r="E9" s="23">
        <f>'Case 2 MF-NF Cost Summary'!G6</f>
        <v>2.2999999999999998</v>
      </c>
    </row>
    <row r="11" spans="1:5" ht="21" x14ac:dyDescent="0.35">
      <c r="B11" s="248" t="s">
        <v>504</v>
      </c>
      <c r="D11" t="s">
        <v>499</v>
      </c>
      <c r="E11" t="s">
        <v>506</v>
      </c>
    </row>
    <row r="12" spans="1:5" x14ac:dyDescent="0.25">
      <c r="C12" s="108" t="s">
        <v>237</v>
      </c>
      <c r="D12" s="105"/>
      <c r="E12" s="105"/>
    </row>
    <row r="13" spans="1:5" x14ac:dyDescent="0.25">
      <c r="C13" s="105" t="s">
        <v>238</v>
      </c>
      <c r="D13" s="106" t="s">
        <v>239</v>
      </c>
      <c r="E13" s="106"/>
    </row>
    <row r="14" spans="1:5" x14ac:dyDescent="0.25">
      <c r="C14" s="105" t="s">
        <v>240</v>
      </c>
      <c r="D14" s="109" t="s">
        <v>241</v>
      </c>
      <c r="E14" s="109"/>
    </row>
    <row r="15" spans="1:5" x14ac:dyDescent="0.25">
      <c r="C15" s="105" t="s">
        <v>242</v>
      </c>
      <c r="D15" s="110">
        <v>20.32</v>
      </c>
      <c r="E15" s="105" t="s">
        <v>243</v>
      </c>
    </row>
    <row r="16" spans="1:5" x14ac:dyDescent="0.25">
      <c r="C16" s="105" t="s">
        <v>244</v>
      </c>
      <c r="D16" s="106">
        <v>47</v>
      </c>
      <c r="E16" s="105" t="s">
        <v>245</v>
      </c>
    </row>
    <row r="17" spans="3:6" x14ac:dyDescent="0.25">
      <c r="C17" s="105" t="s">
        <v>246</v>
      </c>
      <c r="D17" s="106">
        <v>37.1</v>
      </c>
      <c r="E17" s="105" t="s">
        <v>247</v>
      </c>
    </row>
    <row r="18" spans="3:6" ht="15.75" x14ac:dyDescent="0.3">
      <c r="C18" s="105" t="s">
        <v>248</v>
      </c>
      <c r="D18" s="106">
        <v>482</v>
      </c>
      <c r="E18" s="105" t="s">
        <v>249</v>
      </c>
    </row>
    <row r="19" spans="3:6" x14ac:dyDescent="0.25">
      <c r="C19" s="106" t="s">
        <v>250</v>
      </c>
      <c r="D19" s="106">
        <v>2000</v>
      </c>
      <c r="E19" s="105" t="s">
        <v>142</v>
      </c>
    </row>
    <row r="20" spans="3:6" x14ac:dyDescent="0.25">
      <c r="C20" s="105" t="s">
        <v>251</v>
      </c>
      <c r="D20" s="106">
        <v>120</v>
      </c>
      <c r="E20" s="105" t="s">
        <v>252</v>
      </c>
    </row>
    <row r="21" spans="3:6" x14ac:dyDescent="0.25">
      <c r="C21" s="105" t="s">
        <v>253</v>
      </c>
      <c r="D21" s="111">
        <v>50</v>
      </c>
      <c r="E21" s="105" t="s">
        <v>59</v>
      </c>
    </row>
    <row r="22" spans="3:6" x14ac:dyDescent="0.25">
      <c r="C22" s="105" t="s">
        <v>254</v>
      </c>
      <c r="D22" s="111">
        <v>97</v>
      </c>
      <c r="E22" s="105" t="s">
        <v>59</v>
      </c>
    </row>
    <row r="23" spans="3:6" x14ac:dyDescent="0.25">
      <c r="C23" s="105" t="s">
        <v>255</v>
      </c>
      <c r="D23" s="106">
        <v>15</v>
      </c>
      <c r="E23" s="105" t="s">
        <v>59</v>
      </c>
    </row>
    <row r="24" spans="3:6" x14ac:dyDescent="0.25">
      <c r="C24" s="105" t="s">
        <v>256</v>
      </c>
      <c r="D24" s="106">
        <v>25</v>
      </c>
      <c r="E24" s="112" t="s">
        <v>257</v>
      </c>
    </row>
    <row r="25" spans="3:6" x14ac:dyDescent="0.25">
      <c r="C25" s="115"/>
      <c r="D25" s="107"/>
      <c r="E25" s="116"/>
      <c r="F25" s="104"/>
    </row>
    <row r="26" spans="3:6" x14ac:dyDescent="0.25">
      <c r="C26" s="295" t="s">
        <v>302</v>
      </c>
      <c r="D26" s="295"/>
      <c r="E26" s="295"/>
      <c r="F26" s="104"/>
    </row>
    <row r="27" spans="3:6" x14ac:dyDescent="0.25">
      <c r="C27" s="105" t="s">
        <v>0</v>
      </c>
      <c r="D27" s="11" t="s">
        <v>301</v>
      </c>
      <c r="E27" s="11" t="s">
        <v>74</v>
      </c>
      <c r="F27" s="11" t="s">
        <v>69</v>
      </c>
    </row>
    <row r="28" spans="3:6" ht="15.75" x14ac:dyDescent="0.3">
      <c r="C28" s="105" t="s">
        <v>258</v>
      </c>
      <c r="D28" s="121">
        <v>482.5</v>
      </c>
      <c r="E28" s="105" t="s">
        <v>249</v>
      </c>
      <c r="F28" s="11" t="s">
        <v>259</v>
      </c>
    </row>
    <row r="29" spans="3:6" x14ac:dyDescent="0.25">
      <c r="C29" s="105" t="s">
        <v>260</v>
      </c>
      <c r="D29" s="117">
        <v>6</v>
      </c>
      <c r="E29" s="105" t="s">
        <v>261</v>
      </c>
      <c r="F29" s="11"/>
    </row>
    <row r="30" spans="3:6" x14ac:dyDescent="0.25">
      <c r="C30" s="105" t="s">
        <v>262</v>
      </c>
      <c r="D30" s="117">
        <v>2</v>
      </c>
      <c r="E30" s="105" t="s">
        <v>263</v>
      </c>
      <c r="F30" s="11"/>
    </row>
    <row r="31" spans="3:6" x14ac:dyDescent="0.25">
      <c r="C31" s="105" t="s">
        <v>255</v>
      </c>
      <c r="D31" s="122">
        <v>0.89</v>
      </c>
      <c r="E31" s="105" t="s">
        <v>285</v>
      </c>
      <c r="F31" s="11" t="s">
        <v>286</v>
      </c>
    </row>
    <row r="32" spans="3:6" x14ac:dyDescent="0.25">
      <c r="C32" s="105" t="s">
        <v>264</v>
      </c>
      <c r="D32" s="117">
        <v>0</v>
      </c>
      <c r="E32" s="105" t="s">
        <v>247</v>
      </c>
      <c r="F32" s="11" t="s">
        <v>294</v>
      </c>
    </row>
    <row r="33" spans="3:12" x14ac:dyDescent="0.25">
      <c r="C33" s="105" t="s">
        <v>265</v>
      </c>
      <c r="D33" s="117" t="s">
        <v>266</v>
      </c>
      <c r="E33" s="105" t="s">
        <v>267</v>
      </c>
      <c r="F33" s="11" t="s">
        <v>295</v>
      </c>
    </row>
    <row r="34" spans="3:12" x14ac:dyDescent="0.25">
      <c r="C34" s="105" t="s">
        <v>268</v>
      </c>
      <c r="D34" s="120">
        <v>0</v>
      </c>
      <c r="E34" s="105" t="s">
        <v>269</v>
      </c>
      <c r="F34" s="11" t="s">
        <v>296</v>
      </c>
    </row>
    <row r="35" spans="3:12" x14ac:dyDescent="0.25">
      <c r="C35" s="105" t="s">
        <v>270</v>
      </c>
      <c r="D35" s="117" t="s">
        <v>271</v>
      </c>
      <c r="E35" s="105" t="s">
        <v>267</v>
      </c>
      <c r="F35" s="11"/>
    </row>
    <row r="36" spans="3:12" x14ac:dyDescent="0.25">
      <c r="C36" s="105" t="s">
        <v>272</v>
      </c>
      <c r="D36" s="118" t="s">
        <v>273</v>
      </c>
      <c r="E36" s="113" t="s">
        <v>274</v>
      </c>
      <c r="F36" s="11"/>
    </row>
    <row r="37" spans="3:12" x14ac:dyDescent="0.25">
      <c r="C37" s="105" t="s">
        <v>275</v>
      </c>
      <c r="D37" s="121">
        <v>3</v>
      </c>
      <c r="E37" s="105" t="s">
        <v>276</v>
      </c>
      <c r="F37" s="11" t="s">
        <v>287</v>
      </c>
    </row>
    <row r="38" spans="3:12" x14ac:dyDescent="0.25">
      <c r="C38" s="105" t="s">
        <v>277</v>
      </c>
      <c r="D38" s="122">
        <v>0.75</v>
      </c>
      <c r="E38" s="105"/>
      <c r="F38" s="11" t="s">
        <v>287</v>
      </c>
    </row>
    <row r="39" spans="3:12" x14ac:dyDescent="0.25">
      <c r="C39" s="105" t="s">
        <v>278</v>
      </c>
      <c r="D39" s="122">
        <v>0.75</v>
      </c>
      <c r="E39" s="105"/>
      <c r="F39" s="11" t="s">
        <v>287</v>
      </c>
    </row>
    <row r="40" spans="3:12" x14ac:dyDescent="0.25">
      <c r="C40" s="105" t="s">
        <v>279</v>
      </c>
      <c r="D40" s="122">
        <v>1</v>
      </c>
      <c r="E40" s="105"/>
      <c r="F40" s="11" t="s">
        <v>287</v>
      </c>
    </row>
    <row r="41" spans="3:12" x14ac:dyDescent="0.25">
      <c r="C41" s="105" t="s">
        <v>280</v>
      </c>
      <c r="D41" s="121">
        <f>D30</f>
        <v>2</v>
      </c>
      <c r="E41" s="105"/>
      <c r="F41" s="11" t="s">
        <v>287</v>
      </c>
    </row>
    <row r="42" spans="3:12" x14ac:dyDescent="0.25">
      <c r="C42" s="105" t="s">
        <v>281</v>
      </c>
      <c r="D42" s="117" t="s">
        <v>266</v>
      </c>
      <c r="E42" s="105" t="s">
        <v>267</v>
      </c>
      <c r="F42" s="11" t="s">
        <v>297</v>
      </c>
    </row>
    <row r="43" spans="3:12" x14ac:dyDescent="0.25">
      <c r="C43" s="105" t="s">
        <v>282</v>
      </c>
      <c r="D43" s="117" t="s">
        <v>266</v>
      </c>
      <c r="E43" s="105" t="s">
        <v>267</v>
      </c>
      <c r="F43" s="11" t="s">
        <v>298</v>
      </c>
    </row>
    <row r="44" spans="3:12" x14ac:dyDescent="0.25">
      <c r="C44" s="105" t="s">
        <v>283</v>
      </c>
      <c r="D44" s="117" t="s">
        <v>266</v>
      </c>
      <c r="E44" s="105" t="s">
        <v>267</v>
      </c>
      <c r="F44" s="11" t="s">
        <v>299</v>
      </c>
    </row>
    <row r="45" spans="3:12" x14ac:dyDescent="0.25">
      <c r="C45" s="105" t="s">
        <v>288</v>
      </c>
      <c r="D45" s="117">
        <v>6</v>
      </c>
      <c r="E45" s="105" t="s">
        <v>289</v>
      </c>
      <c r="F45" s="11"/>
    </row>
    <row r="46" spans="3:12" x14ac:dyDescent="0.25">
      <c r="C46" s="105" t="s">
        <v>290</v>
      </c>
      <c r="D46" s="117">
        <v>0</v>
      </c>
      <c r="E46" s="105"/>
      <c r="F46" s="11" t="s">
        <v>300</v>
      </c>
    </row>
    <row r="47" spans="3:12" x14ac:dyDescent="0.25">
      <c r="C47" s="105" t="s">
        <v>291</v>
      </c>
      <c r="D47" s="121">
        <v>41</v>
      </c>
      <c r="E47" s="105" t="s">
        <v>292</v>
      </c>
      <c r="F47" s="11" t="s">
        <v>293</v>
      </c>
      <c r="J47" s="114"/>
      <c r="K47" s="123"/>
      <c r="L47" s="114"/>
    </row>
    <row r="48" spans="3:12" x14ac:dyDescent="0.25">
      <c r="C48" s="105" t="s">
        <v>284</v>
      </c>
      <c r="D48" s="122">
        <v>0.98</v>
      </c>
      <c r="E48" s="105"/>
      <c r="F48" s="11"/>
      <c r="J48" s="114"/>
      <c r="K48" s="123"/>
      <c r="L48" s="114"/>
    </row>
    <row r="50" spans="2:6" x14ac:dyDescent="0.25">
      <c r="C50" s="295" t="s">
        <v>303</v>
      </c>
      <c r="D50" s="295"/>
      <c r="E50" s="295"/>
    </row>
    <row r="51" spans="2:6" x14ac:dyDescent="0.25">
      <c r="C51" s="105" t="s">
        <v>0</v>
      </c>
      <c r="D51" s="11" t="s">
        <v>301</v>
      </c>
      <c r="E51" s="11" t="s">
        <v>74</v>
      </c>
      <c r="F51" s="11" t="s">
        <v>69</v>
      </c>
    </row>
    <row r="52" spans="2:6" x14ac:dyDescent="0.25">
      <c r="C52" s="105" t="s">
        <v>304</v>
      </c>
      <c r="D52" s="201">
        <v>1047</v>
      </c>
      <c r="E52" s="105" t="s">
        <v>308</v>
      </c>
      <c r="F52" s="11" t="s">
        <v>317</v>
      </c>
    </row>
    <row r="53" spans="2:6" x14ac:dyDescent="0.25">
      <c r="C53" s="105" t="s">
        <v>305</v>
      </c>
      <c r="D53" s="201">
        <v>3000</v>
      </c>
      <c r="E53" s="105" t="s">
        <v>309</v>
      </c>
      <c r="F53" s="11" t="s">
        <v>318</v>
      </c>
    </row>
    <row r="54" spans="2:6" x14ac:dyDescent="0.25">
      <c r="C54" s="105" t="s">
        <v>306</v>
      </c>
      <c r="D54" s="201">
        <v>977</v>
      </c>
      <c r="E54" s="105" t="s">
        <v>310</v>
      </c>
      <c r="F54" s="11" t="s">
        <v>318</v>
      </c>
    </row>
    <row r="55" spans="2:6" x14ac:dyDescent="0.25">
      <c r="C55" s="105" t="s">
        <v>307</v>
      </c>
      <c r="D55" s="201">
        <v>65000</v>
      </c>
      <c r="E55" s="105"/>
      <c r="F55" s="11" t="s">
        <v>318</v>
      </c>
    </row>
    <row r="56" spans="2:6" x14ac:dyDescent="0.25">
      <c r="C56" s="105" t="s">
        <v>311</v>
      </c>
      <c r="D56" s="201">
        <v>55000</v>
      </c>
      <c r="E56" s="105"/>
      <c r="F56" s="11" t="s">
        <v>318</v>
      </c>
    </row>
    <row r="57" spans="2:6" x14ac:dyDescent="0.25">
      <c r="C57" s="105" t="s">
        <v>312</v>
      </c>
      <c r="D57" s="201">
        <v>50000</v>
      </c>
      <c r="E57" s="105"/>
      <c r="F57" s="11" t="s">
        <v>318</v>
      </c>
    </row>
    <row r="58" spans="2:6" x14ac:dyDescent="0.25">
      <c r="C58" s="105" t="s">
        <v>313</v>
      </c>
      <c r="D58" s="201">
        <v>0</v>
      </c>
      <c r="E58" s="105"/>
      <c r="F58" s="11" t="s">
        <v>328</v>
      </c>
    </row>
    <row r="59" spans="2:6" x14ac:dyDescent="0.25">
      <c r="C59" s="105" t="s">
        <v>314</v>
      </c>
      <c r="D59" s="201">
        <v>67000</v>
      </c>
      <c r="E59" s="105"/>
      <c r="F59" s="11" t="s">
        <v>318</v>
      </c>
    </row>
    <row r="60" spans="2:6" x14ac:dyDescent="0.25">
      <c r="C60" s="105" t="s">
        <v>315</v>
      </c>
      <c r="D60" s="201">
        <v>100000</v>
      </c>
      <c r="E60" s="105"/>
      <c r="F60" s="11" t="s">
        <v>318</v>
      </c>
    </row>
    <row r="61" spans="2:6" x14ac:dyDescent="0.25">
      <c r="C61" s="105" t="s">
        <v>316</v>
      </c>
      <c r="D61" s="120">
        <f>50000/3785</f>
        <v>13.21003963011889</v>
      </c>
      <c r="E61" s="105" t="s">
        <v>310</v>
      </c>
      <c r="F61" s="11" t="s">
        <v>318</v>
      </c>
    </row>
    <row r="62" spans="2:6" x14ac:dyDescent="0.25">
      <c r="C62" s="105" t="s">
        <v>319</v>
      </c>
      <c r="D62" s="117">
        <v>14.53</v>
      </c>
      <c r="E62" s="105" t="s">
        <v>310</v>
      </c>
      <c r="F62" s="11" t="s">
        <v>320</v>
      </c>
    </row>
    <row r="64" spans="2:6" ht="21" x14ac:dyDescent="0.35">
      <c r="B64" s="248" t="s">
        <v>500</v>
      </c>
      <c r="C64" s="124"/>
      <c r="D64" t="s">
        <v>507</v>
      </c>
    </row>
    <row r="65" spans="2:4" ht="15.75" thickBot="1" x14ac:dyDescent="0.3">
      <c r="B65" s="246" t="s">
        <v>501</v>
      </c>
      <c r="C65" s="124"/>
    </row>
    <row r="66" spans="2:4" x14ac:dyDescent="0.25">
      <c r="C66" s="125" t="s">
        <v>321</v>
      </c>
      <c r="D66" s="126"/>
    </row>
    <row r="67" spans="2:4" x14ac:dyDescent="0.25">
      <c r="C67" s="127"/>
      <c r="D67" s="128"/>
    </row>
    <row r="68" spans="2:4" x14ac:dyDescent="0.25">
      <c r="C68" s="127" t="s">
        <v>322</v>
      </c>
      <c r="D68" s="129">
        <v>48650.718461274962</v>
      </c>
    </row>
    <row r="69" spans="2:4" x14ac:dyDescent="0.25">
      <c r="C69" s="127" t="s">
        <v>161</v>
      </c>
      <c r="D69" s="129">
        <v>0</v>
      </c>
    </row>
    <row r="70" spans="2:4" x14ac:dyDescent="0.25">
      <c r="C70" s="127" t="s">
        <v>215</v>
      </c>
      <c r="D70" s="129">
        <v>79998.029767617918</v>
      </c>
    </row>
    <row r="71" spans="2:4" x14ac:dyDescent="0.25">
      <c r="C71" s="127" t="s">
        <v>323</v>
      </c>
      <c r="D71" s="129">
        <v>4172.2575282489197</v>
      </c>
    </row>
    <row r="72" spans="2:4" x14ac:dyDescent="0.25">
      <c r="C72" s="127" t="s">
        <v>313</v>
      </c>
      <c r="D72" s="130">
        <v>0</v>
      </c>
    </row>
    <row r="73" spans="2:4" x14ac:dyDescent="0.25">
      <c r="C73" s="127" t="s">
        <v>324</v>
      </c>
      <c r="D73" s="129">
        <v>44401.534278398096</v>
      </c>
    </row>
    <row r="74" spans="2:4" x14ac:dyDescent="0.25">
      <c r="C74" s="127" t="s">
        <v>325</v>
      </c>
      <c r="D74" s="129">
        <v>17760.613711359238</v>
      </c>
    </row>
    <row r="75" spans="2:4" ht="15.75" thickBot="1" x14ac:dyDescent="0.3">
      <c r="C75" s="131" t="s">
        <v>326</v>
      </c>
      <c r="D75" s="129">
        <v>0</v>
      </c>
    </row>
    <row r="76" spans="2:4" ht="15.75" thickBot="1" x14ac:dyDescent="0.3">
      <c r="C76" s="132" t="s">
        <v>327</v>
      </c>
      <c r="D76" s="133">
        <v>194983.15374689913</v>
      </c>
    </row>
    <row r="77" spans="2:4" ht="15.75" thickBot="1" x14ac:dyDescent="0.3">
      <c r="B77" s="246" t="s">
        <v>502</v>
      </c>
    </row>
    <row r="78" spans="2:4" ht="15.75" thickBot="1" x14ac:dyDescent="0.3">
      <c r="C78" s="134" t="s">
        <v>329</v>
      </c>
      <c r="D78" s="135">
        <v>3347247.6957402742</v>
      </c>
    </row>
    <row r="79" spans="2:4" x14ac:dyDescent="0.25">
      <c r="C79" s="125" t="s">
        <v>330</v>
      </c>
      <c r="D79" s="136"/>
    </row>
    <row r="80" spans="2:4" x14ac:dyDescent="0.25">
      <c r="C80" s="127" t="s">
        <v>331</v>
      </c>
      <c r="D80" s="137">
        <v>200834.86174441644</v>
      </c>
    </row>
    <row r="81" spans="2:4" x14ac:dyDescent="0.25">
      <c r="C81" s="127" t="s">
        <v>332</v>
      </c>
      <c r="D81" s="137">
        <v>669449.5391480549</v>
      </c>
    </row>
    <row r="82" spans="2:4" x14ac:dyDescent="0.25">
      <c r="C82" s="127" t="s">
        <v>333</v>
      </c>
      <c r="D82" s="137">
        <v>334724.76957402745</v>
      </c>
    </row>
    <row r="83" spans="2:4" ht="15.75" thickBot="1" x14ac:dyDescent="0.3">
      <c r="C83" s="131" t="s">
        <v>334</v>
      </c>
      <c r="D83" s="137">
        <v>133889.90782961098</v>
      </c>
    </row>
    <row r="84" spans="2:4" ht="15.75" thickBot="1" x14ac:dyDescent="0.3">
      <c r="C84" s="132" t="s">
        <v>335</v>
      </c>
      <c r="D84" s="138">
        <v>1338899.0782961096</v>
      </c>
    </row>
    <row r="85" spans="2:4" ht="15.75" thickBot="1" x14ac:dyDescent="0.3">
      <c r="B85" s="246" t="s">
        <v>339</v>
      </c>
      <c r="C85" s="119"/>
      <c r="D85" s="119"/>
    </row>
    <row r="86" spans="2:4" ht="16.5" thickBot="1" x14ac:dyDescent="0.3">
      <c r="C86" s="139" t="s">
        <v>336</v>
      </c>
      <c r="D86" s="140">
        <v>4686146.7740363833</v>
      </c>
    </row>
    <row r="87" spans="2:4" ht="15.75" thickBot="1" x14ac:dyDescent="0.3">
      <c r="C87" s="119"/>
      <c r="D87" s="119"/>
    </row>
    <row r="88" spans="2:4" ht="15.75" x14ac:dyDescent="0.25">
      <c r="C88" s="141" t="s">
        <v>337</v>
      </c>
      <c r="D88" s="142">
        <v>734.59632389121634</v>
      </c>
    </row>
    <row r="89" spans="2:4" ht="16.5" thickBot="1" x14ac:dyDescent="0.3">
      <c r="C89" s="143" t="s">
        <v>338</v>
      </c>
      <c r="D89" s="144">
        <v>2.780447085928254</v>
      </c>
    </row>
    <row r="90" spans="2:4" ht="15.75" thickBot="1" x14ac:dyDescent="0.3"/>
    <row r="91" spans="2:4" ht="15.75" x14ac:dyDescent="0.25">
      <c r="C91" s="141" t="s">
        <v>339</v>
      </c>
      <c r="D91" s="126"/>
    </row>
    <row r="92" spans="2:4" x14ac:dyDescent="0.25">
      <c r="C92" s="127" t="s">
        <v>207</v>
      </c>
      <c r="D92" s="145">
        <v>340443.46221633942</v>
      </c>
    </row>
    <row r="93" spans="2:4" ht="15.75" thickBot="1" x14ac:dyDescent="0.3">
      <c r="C93" s="127" t="s">
        <v>340</v>
      </c>
      <c r="D93" s="146">
        <v>194983.15374689913</v>
      </c>
    </row>
    <row r="94" spans="2:4" x14ac:dyDescent="0.25">
      <c r="C94" s="147" t="s">
        <v>341</v>
      </c>
      <c r="D94" s="148">
        <v>535426.61596323852</v>
      </c>
    </row>
    <row r="95" spans="2:4" x14ac:dyDescent="0.25">
      <c r="C95" s="149" t="s">
        <v>342</v>
      </c>
      <c r="D95" s="150">
        <v>0.22995346360352137</v>
      </c>
    </row>
    <row r="96" spans="2:4" x14ac:dyDescent="0.25">
      <c r="C96" s="149" t="s">
        <v>343</v>
      </c>
      <c r="D96" s="150">
        <v>0.87037385973932846</v>
      </c>
    </row>
    <row r="97" spans="3:4" ht="15.75" thickBot="1" x14ac:dyDescent="0.3">
      <c r="C97" s="151" t="s">
        <v>344</v>
      </c>
      <c r="D97" s="152">
        <v>283.62460200858328</v>
      </c>
    </row>
  </sheetData>
  <mergeCells count="4">
    <mergeCell ref="C6:E6"/>
    <mergeCell ref="C26:E26"/>
    <mergeCell ref="C50:E50"/>
    <mergeCell ref="B1:E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5A1A-4440-401A-A10A-87C7CFA416D1}">
  <sheetPr>
    <tabColor theme="9" tint="0.79998168889431442"/>
  </sheetPr>
  <dimension ref="A1:E50"/>
  <sheetViews>
    <sheetView workbookViewId="0">
      <selection activeCell="B5" sqref="B5"/>
    </sheetView>
  </sheetViews>
  <sheetFormatPr defaultRowHeight="15" x14ac:dyDescent="0.25"/>
  <cols>
    <col min="1" max="1" width="11.140625" customWidth="1"/>
    <col min="3" max="3" width="35.85546875" bestFit="1" customWidth="1"/>
    <col min="4" max="5" width="17.140625" bestFit="1" customWidth="1"/>
    <col min="8" max="8" width="23.140625" customWidth="1"/>
    <col min="9" max="9" width="20.7109375" customWidth="1"/>
  </cols>
  <sheetData>
    <row r="1" spans="1:5" ht="45.4" customHeight="1" x14ac:dyDescent="0.25">
      <c r="A1" s="252" t="s">
        <v>496</v>
      </c>
      <c r="B1" s="277" t="s">
        <v>497</v>
      </c>
      <c r="C1" s="277"/>
      <c r="D1" s="277"/>
      <c r="E1" s="277"/>
    </row>
    <row r="4" spans="1:5" ht="21" x14ac:dyDescent="0.35">
      <c r="B4" s="248" t="s">
        <v>36</v>
      </c>
    </row>
    <row r="5" spans="1:5" x14ac:dyDescent="0.25">
      <c r="B5" s="246" t="s">
        <v>493</v>
      </c>
    </row>
    <row r="6" spans="1:5" x14ac:dyDescent="0.25">
      <c r="C6" s="278" t="s">
        <v>494</v>
      </c>
      <c r="D6" s="278"/>
    </row>
    <row r="7" spans="1:5" x14ac:dyDescent="0.25">
      <c r="C7" s="245" t="s">
        <v>419</v>
      </c>
      <c r="D7" s="245" t="s">
        <v>1</v>
      </c>
    </row>
    <row r="8" spans="1:5" x14ac:dyDescent="0.25">
      <c r="C8" s="11" t="s">
        <v>413</v>
      </c>
      <c r="D8" s="11">
        <v>1.47</v>
      </c>
    </row>
    <row r="9" spans="1:5" x14ac:dyDescent="0.25">
      <c r="C9" s="11" t="s">
        <v>414</v>
      </c>
      <c r="D9" s="11">
        <v>3.9</v>
      </c>
    </row>
    <row r="10" spans="1:5" x14ac:dyDescent="0.25">
      <c r="C10" s="11" t="s">
        <v>415</v>
      </c>
      <c r="D10" s="11">
        <f>D8/D9</f>
        <v>0.37692307692307692</v>
      </c>
    </row>
    <row r="13" spans="1:5" x14ac:dyDescent="0.25">
      <c r="B13" s="246" t="s">
        <v>359</v>
      </c>
    </row>
    <row r="14" spans="1:5" x14ac:dyDescent="0.25">
      <c r="C14" s="11"/>
      <c r="D14" s="11" t="s">
        <v>361</v>
      </c>
      <c r="E14" s="11" t="s">
        <v>362</v>
      </c>
    </row>
    <row r="15" spans="1:5" x14ac:dyDescent="0.25">
      <c r="C15" s="11" t="s">
        <v>347</v>
      </c>
      <c r="D15" s="11" t="s">
        <v>348</v>
      </c>
      <c r="E15" s="11" t="s">
        <v>348</v>
      </c>
    </row>
    <row r="16" spans="1:5" x14ac:dyDescent="0.25">
      <c r="C16" s="11" t="s">
        <v>431</v>
      </c>
      <c r="D16" s="26">
        <v>77</v>
      </c>
      <c r="E16" s="26">
        <v>77</v>
      </c>
    </row>
    <row r="17" spans="2:5" x14ac:dyDescent="0.25">
      <c r="C17" s="11" t="s">
        <v>357</v>
      </c>
      <c r="D17" s="11">
        <v>1.68</v>
      </c>
      <c r="E17" s="11">
        <v>1.68</v>
      </c>
    </row>
    <row r="18" spans="2:5" x14ac:dyDescent="0.25">
      <c r="C18" s="11" t="s">
        <v>349</v>
      </c>
      <c r="D18" s="11">
        <v>2</v>
      </c>
      <c r="E18" s="11">
        <v>2</v>
      </c>
    </row>
    <row r="19" spans="2:5" x14ac:dyDescent="0.25">
      <c r="C19" s="11" t="s">
        <v>350</v>
      </c>
      <c r="D19" s="11">
        <v>42</v>
      </c>
      <c r="E19" s="11">
        <v>20</v>
      </c>
    </row>
    <row r="20" spans="2:5" x14ac:dyDescent="0.25">
      <c r="C20" s="11" t="s">
        <v>351</v>
      </c>
      <c r="D20" s="11">
        <f>D18*D19</f>
        <v>84</v>
      </c>
      <c r="E20" s="11">
        <f>E18*E19</f>
        <v>40</v>
      </c>
    </row>
    <row r="21" spans="2:5" x14ac:dyDescent="0.25">
      <c r="C21" s="11" t="s">
        <v>356</v>
      </c>
      <c r="D21" s="11">
        <v>60</v>
      </c>
      <c r="E21" s="11">
        <v>60</v>
      </c>
    </row>
    <row r="22" spans="2:5" x14ac:dyDescent="0.25">
      <c r="C22" s="11" t="s">
        <v>352</v>
      </c>
      <c r="D22" s="11">
        <v>4.3</v>
      </c>
      <c r="E22" s="11">
        <v>4.3</v>
      </c>
    </row>
    <row r="23" spans="2:5" x14ac:dyDescent="0.25">
      <c r="C23" s="11" t="s">
        <v>354</v>
      </c>
      <c r="D23" s="11">
        <v>100</v>
      </c>
      <c r="E23" s="11">
        <v>100</v>
      </c>
    </row>
    <row r="24" spans="2:5" x14ac:dyDescent="0.25">
      <c r="C24" s="11" t="s">
        <v>355</v>
      </c>
      <c r="D24" s="154">
        <v>0.92</v>
      </c>
      <c r="E24" s="17">
        <v>0.96</v>
      </c>
    </row>
    <row r="25" spans="2:5" x14ac:dyDescent="0.25">
      <c r="C25" s="11" t="s">
        <v>358</v>
      </c>
      <c r="D25" s="11">
        <v>49</v>
      </c>
      <c r="E25" s="11">
        <v>97</v>
      </c>
    </row>
    <row r="27" spans="2:5" ht="21" x14ac:dyDescent="0.35">
      <c r="B27" s="248" t="s">
        <v>35</v>
      </c>
    </row>
    <row r="28" spans="2:5" x14ac:dyDescent="0.25">
      <c r="B28" s="246" t="s">
        <v>495</v>
      </c>
    </row>
    <row r="29" spans="2:5" x14ac:dyDescent="0.25">
      <c r="C29" s="250" t="s">
        <v>234</v>
      </c>
      <c r="D29" s="11" t="s">
        <v>361</v>
      </c>
      <c r="E29" s="11" t="s">
        <v>362</v>
      </c>
    </row>
    <row r="30" spans="2:5" ht="25.5" x14ac:dyDescent="0.25">
      <c r="C30" s="250" t="s">
        <v>437</v>
      </c>
      <c r="D30" s="21">
        <v>43</v>
      </c>
      <c r="E30" s="21">
        <v>43</v>
      </c>
    </row>
    <row r="31" spans="2:5" ht="25.5" x14ac:dyDescent="0.25">
      <c r="C31" s="250" t="s">
        <v>438</v>
      </c>
      <c r="D31" s="251">
        <v>0.36</v>
      </c>
      <c r="E31" s="251">
        <v>0.08</v>
      </c>
    </row>
    <row r="32" spans="2:5" ht="25.5" x14ac:dyDescent="0.25">
      <c r="C32" s="250" t="s">
        <v>439</v>
      </c>
      <c r="D32" s="21">
        <v>35</v>
      </c>
      <c r="E32" s="21">
        <v>41</v>
      </c>
    </row>
    <row r="34" spans="2:5" x14ac:dyDescent="0.25">
      <c r="B34" s="246" t="s">
        <v>360</v>
      </c>
    </row>
    <row r="35" spans="2:5" x14ac:dyDescent="0.25">
      <c r="C35" s="11" t="s">
        <v>0</v>
      </c>
      <c r="D35" s="11" t="s">
        <v>361</v>
      </c>
      <c r="E35" s="11" t="s">
        <v>362</v>
      </c>
    </row>
    <row r="36" spans="2:5" x14ac:dyDescent="0.25">
      <c r="C36" s="11" t="s">
        <v>347</v>
      </c>
      <c r="D36" s="11" t="s">
        <v>468</v>
      </c>
      <c r="E36" s="11" t="s">
        <v>468</v>
      </c>
    </row>
    <row r="37" spans="2:5" x14ac:dyDescent="0.25">
      <c r="C37" s="11" t="s">
        <v>469</v>
      </c>
      <c r="D37" s="11">
        <v>180</v>
      </c>
      <c r="E37" s="11">
        <v>162</v>
      </c>
    </row>
    <row r="38" spans="2:5" x14ac:dyDescent="0.25">
      <c r="C38" s="11" t="s">
        <v>470</v>
      </c>
      <c r="D38" s="11">
        <v>20</v>
      </c>
      <c r="E38" s="11">
        <v>18</v>
      </c>
    </row>
    <row r="39" spans="2:5" x14ac:dyDescent="0.25">
      <c r="C39" s="11" t="s">
        <v>471</v>
      </c>
      <c r="D39" s="11">
        <v>10</v>
      </c>
      <c r="E39" s="11">
        <v>9</v>
      </c>
    </row>
    <row r="40" spans="2:5" x14ac:dyDescent="0.25">
      <c r="C40" s="11" t="s">
        <v>473</v>
      </c>
      <c r="D40" s="11">
        <v>6</v>
      </c>
      <c r="E40" s="11">
        <v>6</v>
      </c>
    </row>
    <row r="41" spans="2:5" x14ac:dyDescent="0.25">
      <c r="C41" s="11" t="s">
        <v>472</v>
      </c>
      <c r="D41" s="11">
        <v>35.4</v>
      </c>
      <c r="E41" s="11">
        <v>39.299999999999997</v>
      </c>
    </row>
    <row r="42" spans="2:5" x14ac:dyDescent="0.25">
      <c r="C42" s="11" t="s">
        <v>40</v>
      </c>
      <c r="D42" s="17">
        <v>0.89</v>
      </c>
      <c r="E42" s="17">
        <v>0.89</v>
      </c>
    </row>
    <row r="44" spans="2:5" ht="21" x14ac:dyDescent="0.35">
      <c r="B44" s="248" t="s">
        <v>235</v>
      </c>
    </row>
    <row r="45" spans="2:5" x14ac:dyDescent="0.25">
      <c r="B45" s="246" t="s">
        <v>465</v>
      </c>
    </row>
    <row r="46" spans="2:5" x14ac:dyDescent="0.25">
      <c r="C46" s="11" t="s">
        <v>0</v>
      </c>
      <c r="D46" s="11" t="s">
        <v>361</v>
      </c>
      <c r="E46" s="11" t="s">
        <v>362</v>
      </c>
    </row>
    <row r="47" spans="2:5" x14ac:dyDescent="0.25">
      <c r="C47" s="11" t="s">
        <v>466</v>
      </c>
      <c r="D47" s="11">
        <v>7.0000000000000007E-2</v>
      </c>
      <c r="E47" s="11">
        <v>0.08</v>
      </c>
    </row>
    <row r="48" spans="2:5" x14ac:dyDescent="0.25">
      <c r="C48" s="11" t="s">
        <v>474</v>
      </c>
      <c r="D48" s="11">
        <v>5.0000000000000001E-3</v>
      </c>
      <c r="E48" s="11">
        <v>5.0000000000000001E-3</v>
      </c>
    </row>
    <row r="49" spans="3:5" x14ac:dyDescent="0.25">
      <c r="C49" s="11" t="s">
        <v>467</v>
      </c>
      <c r="D49" s="11">
        <v>0.34</v>
      </c>
      <c r="E49" s="11">
        <v>0.37</v>
      </c>
    </row>
    <row r="50" spans="3:5" x14ac:dyDescent="0.25">
      <c r="C50" s="11" t="s">
        <v>475</v>
      </c>
      <c r="D50" s="11">
        <v>2.1000000000000001E-2</v>
      </c>
      <c r="E50" s="11">
        <v>2.3E-2</v>
      </c>
    </row>
  </sheetData>
  <mergeCells count="2">
    <mergeCell ref="C6:D6"/>
    <mergeCell ref="B1:E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47EC-F80C-4EA2-9295-67314143F5C2}">
  <dimension ref="A1:H26"/>
  <sheetViews>
    <sheetView zoomScale="70" zoomScaleNormal="70" workbookViewId="0">
      <selection activeCell="K12" sqref="K12"/>
    </sheetView>
  </sheetViews>
  <sheetFormatPr defaultRowHeight="15" x14ac:dyDescent="0.25"/>
  <cols>
    <col min="1" max="1" width="12.5703125" customWidth="1"/>
    <col min="2" max="5" width="12.42578125" customWidth="1"/>
    <col min="6" max="6" width="15.5703125" customWidth="1"/>
    <col min="7" max="7" width="12" bestFit="1" customWidth="1"/>
  </cols>
  <sheetData>
    <row r="1" spans="1:8" ht="30" x14ac:dyDescent="0.25">
      <c r="A1" s="252" t="s">
        <v>496</v>
      </c>
      <c r="B1" s="277" t="s">
        <v>551</v>
      </c>
      <c r="C1" s="277"/>
      <c r="D1" s="277"/>
      <c r="E1" s="277"/>
    </row>
    <row r="5" spans="1:8" x14ac:dyDescent="0.25">
      <c r="B5" s="275" t="s">
        <v>3</v>
      </c>
      <c r="C5" s="272" t="s">
        <v>1</v>
      </c>
      <c r="D5" s="273"/>
      <c r="E5" s="274"/>
      <c r="F5" s="275" t="s">
        <v>4</v>
      </c>
      <c r="G5" s="5"/>
    </row>
    <row r="6" spans="1:8" x14ac:dyDescent="0.25">
      <c r="B6" s="276"/>
      <c r="C6" s="250" t="s">
        <v>9</v>
      </c>
      <c r="D6" s="250" t="s">
        <v>11</v>
      </c>
      <c r="E6" s="245" t="s">
        <v>550</v>
      </c>
      <c r="F6" s="276"/>
      <c r="G6" s="5"/>
    </row>
    <row r="7" spans="1:8" ht="38.25" x14ac:dyDescent="0.25">
      <c r="B7" s="21" t="s">
        <v>5</v>
      </c>
      <c r="C7" s="21">
        <v>1.5</v>
      </c>
      <c r="D7" s="11">
        <f>C7/264*1000*1000</f>
        <v>5681.818181818182</v>
      </c>
      <c r="E7" s="11">
        <f>D7*365</f>
        <v>2073863.6363636365</v>
      </c>
      <c r="F7" s="21" t="s">
        <v>6</v>
      </c>
    </row>
    <row r="8" spans="1:8" ht="25.5" x14ac:dyDescent="0.25">
      <c r="B8" s="21" t="s">
        <v>7</v>
      </c>
      <c r="C8" s="21">
        <v>2.2999999999999998</v>
      </c>
      <c r="D8" s="11">
        <f>C8/264*1000*1000</f>
        <v>8712.1212121212102</v>
      </c>
      <c r="E8" s="11">
        <f>D8*365</f>
        <v>3179924.2424242417</v>
      </c>
      <c r="F8" s="21" t="s">
        <v>8</v>
      </c>
    </row>
    <row r="11" spans="1:8" x14ac:dyDescent="0.25">
      <c r="B11" s="245"/>
      <c r="C11" s="245"/>
      <c r="D11" s="278" t="s">
        <v>43</v>
      </c>
      <c r="E11" s="278"/>
      <c r="F11" s="278" t="s">
        <v>44</v>
      </c>
      <c r="G11" s="278"/>
    </row>
    <row r="12" spans="1:8" x14ac:dyDescent="0.25">
      <c r="B12" s="245" t="s">
        <v>31</v>
      </c>
      <c r="C12" s="245" t="s">
        <v>40</v>
      </c>
      <c r="D12" s="245" t="s">
        <v>41</v>
      </c>
      <c r="E12" s="245" t="s">
        <v>42</v>
      </c>
      <c r="F12" s="245" t="s">
        <v>41</v>
      </c>
      <c r="G12" s="245" t="s">
        <v>42</v>
      </c>
    </row>
    <row r="13" spans="1:8" x14ac:dyDescent="0.25">
      <c r="B13" s="278" t="s">
        <v>30</v>
      </c>
      <c r="C13" s="278"/>
      <c r="D13" s="278"/>
      <c r="E13" s="278"/>
      <c r="F13" s="278"/>
      <c r="G13" s="278"/>
    </row>
    <row r="14" spans="1:8" x14ac:dyDescent="0.25">
      <c r="B14" s="11" t="s">
        <v>32</v>
      </c>
      <c r="C14" s="17">
        <v>0.68</v>
      </c>
      <c r="D14" s="23">
        <f>E14/C14</f>
        <v>2.2058823529411762</v>
      </c>
      <c r="E14" s="23">
        <f>'Flows and Recovery'!$C7</f>
        <v>1.5</v>
      </c>
      <c r="F14" s="23">
        <f>G14/$C14</f>
        <v>3.3823529411764701</v>
      </c>
      <c r="G14" s="11">
        <f>'Flows and Recovery'!$C8</f>
        <v>2.2999999999999998</v>
      </c>
      <c r="H14" s="7"/>
    </row>
    <row r="15" spans="1:8" x14ac:dyDescent="0.25">
      <c r="B15" s="11" t="s">
        <v>33</v>
      </c>
      <c r="C15" s="17">
        <v>1</v>
      </c>
      <c r="D15" s="23">
        <f>E15/C15</f>
        <v>2.2058823529411762</v>
      </c>
      <c r="E15" s="23">
        <f>D14</f>
        <v>2.2058823529411762</v>
      </c>
      <c r="F15" s="23">
        <f>G15/$C15</f>
        <v>3.3823529411764701</v>
      </c>
      <c r="G15" s="23">
        <f>F14</f>
        <v>3.3823529411764701</v>
      </c>
      <c r="H15" s="7"/>
    </row>
    <row r="16" spans="1:8" x14ac:dyDescent="0.25">
      <c r="B16" s="11" t="s">
        <v>197</v>
      </c>
      <c r="C16" s="17">
        <v>1</v>
      </c>
      <c r="D16" s="23">
        <f>E16/C16</f>
        <v>2.2058823529411762</v>
      </c>
      <c r="E16" s="23">
        <f>D15</f>
        <v>2.2058823529411762</v>
      </c>
      <c r="F16" s="23">
        <f>G16/$C16</f>
        <v>3.3823529411764701</v>
      </c>
      <c r="G16" s="23">
        <f>F15</f>
        <v>3.3823529411764701</v>
      </c>
      <c r="H16" s="7"/>
    </row>
    <row r="17" spans="2:8" x14ac:dyDescent="0.25">
      <c r="B17" s="11" t="s">
        <v>235</v>
      </c>
      <c r="C17" s="17">
        <f>C16*C15*C14</f>
        <v>0.68</v>
      </c>
      <c r="D17" s="23"/>
      <c r="E17" s="23"/>
      <c r="F17" s="23"/>
      <c r="G17" s="23"/>
      <c r="H17" s="7"/>
    </row>
    <row r="18" spans="2:8" x14ac:dyDescent="0.25">
      <c r="B18" s="278" t="s">
        <v>34</v>
      </c>
      <c r="C18" s="278"/>
      <c r="D18" s="278"/>
      <c r="E18" s="278"/>
      <c r="F18" s="278"/>
      <c r="G18" s="278"/>
    </row>
    <row r="19" spans="2:8" x14ac:dyDescent="0.25">
      <c r="B19" s="11" t="s">
        <v>35</v>
      </c>
      <c r="C19" s="17">
        <v>0.89</v>
      </c>
      <c r="D19" s="23">
        <f>E19/C19</f>
        <v>1.6853932584269662</v>
      </c>
      <c r="E19" s="23">
        <f>'Flows and Recovery'!$C7</f>
        <v>1.5</v>
      </c>
      <c r="F19" s="23">
        <f>G19/$C19</f>
        <v>2.584269662921348</v>
      </c>
      <c r="G19" s="11">
        <f>'Flows and Recovery'!$C8</f>
        <v>2.2999999999999998</v>
      </c>
    </row>
    <row r="20" spans="2:8" x14ac:dyDescent="0.25">
      <c r="B20" s="11" t="s">
        <v>36</v>
      </c>
      <c r="C20" s="17">
        <v>0.9</v>
      </c>
      <c r="D20" s="23">
        <f>E20/C20</f>
        <v>1.8726591760299625</v>
      </c>
      <c r="E20" s="23">
        <f>D19</f>
        <v>1.6853932584269662</v>
      </c>
      <c r="F20" s="23">
        <f>G20/$C20</f>
        <v>2.8714107365792754</v>
      </c>
      <c r="G20" s="23">
        <f>F19</f>
        <v>2.584269662921348</v>
      </c>
    </row>
    <row r="21" spans="2:8" x14ac:dyDescent="0.25">
      <c r="B21" s="11" t="s">
        <v>235</v>
      </c>
      <c r="C21" s="17">
        <f>C20*C19</f>
        <v>0.80100000000000005</v>
      </c>
      <c r="D21" s="23"/>
      <c r="E21" s="23"/>
      <c r="F21" s="23"/>
      <c r="G21" s="23"/>
    </row>
    <row r="22" spans="2:8" x14ac:dyDescent="0.25">
      <c r="B22" s="278" t="s">
        <v>491</v>
      </c>
      <c r="C22" s="278"/>
      <c r="D22" s="278"/>
      <c r="E22" s="278"/>
      <c r="F22" s="278"/>
      <c r="G22" s="278"/>
    </row>
    <row r="23" spans="2:8" x14ac:dyDescent="0.25">
      <c r="B23" s="11" t="s">
        <v>35</v>
      </c>
      <c r="C23" s="17">
        <v>0.89</v>
      </c>
      <c r="D23" s="23">
        <f>E23/C23</f>
        <v>1.6853932584269662</v>
      </c>
      <c r="E23" s="11">
        <f>'Flows and Recovery'!$C7</f>
        <v>1.5</v>
      </c>
      <c r="F23" s="23">
        <f>G23/$C23</f>
        <v>2.584269662921348</v>
      </c>
      <c r="G23" s="11">
        <f>'Flows and Recovery'!$C8</f>
        <v>2.2999999999999998</v>
      </c>
    </row>
    <row r="24" spans="2:8" x14ac:dyDescent="0.25">
      <c r="B24" s="11" t="s">
        <v>36</v>
      </c>
      <c r="C24" s="17">
        <v>0.95</v>
      </c>
      <c r="D24" s="23">
        <f>E24/C24</f>
        <v>1.7740981667652276</v>
      </c>
      <c r="E24" s="23">
        <f>D23</f>
        <v>1.6853932584269662</v>
      </c>
      <c r="F24" s="23">
        <f>G24/$C24</f>
        <v>2.7202838557066822</v>
      </c>
      <c r="G24" s="23">
        <f>F23</f>
        <v>2.584269662921348</v>
      </c>
    </row>
    <row r="25" spans="2:8" x14ac:dyDescent="0.25">
      <c r="B25" s="11" t="s">
        <v>37</v>
      </c>
      <c r="C25" s="17">
        <v>1</v>
      </c>
      <c r="D25" s="23">
        <f>E25/C25</f>
        <v>1.7740981667652276</v>
      </c>
      <c r="E25" s="23">
        <f>D24</f>
        <v>1.7740981667652276</v>
      </c>
      <c r="F25" s="23">
        <f>G25/$C25</f>
        <v>2.7202838557066822</v>
      </c>
      <c r="G25" s="23">
        <f>F24</f>
        <v>2.7202838557066822</v>
      </c>
    </row>
    <row r="26" spans="2:8" x14ac:dyDescent="0.25">
      <c r="B26" s="11" t="s">
        <v>235</v>
      </c>
      <c r="C26" s="17">
        <f>C25*C24*C23</f>
        <v>0.84549999999999992</v>
      </c>
      <c r="D26" s="11"/>
      <c r="E26" s="11"/>
      <c r="F26" s="11"/>
      <c r="G26" s="11"/>
    </row>
  </sheetData>
  <mergeCells count="9">
    <mergeCell ref="C5:E5"/>
    <mergeCell ref="B5:B6"/>
    <mergeCell ref="F5:F6"/>
    <mergeCell ref="B1:E1"/>
    <mergeCell ref="B22:G22"/>
    <mergeCell ref="F11:G11"/>
    <mergeCell ref="D11:E11"/>
    <mergeCell ref="B18:G18"/>
    <mergeCell ref="B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8EED-1B60-4ECE-8706-8DBB912807D9}">
  <dimension ref="A1:E23"/>
  <sheetViews>
    <sheetView workbookViewId="0">
      <selection activeCell="H14" sqref="H14"/>
    </sheetView>
  </sheetViews>
  <sheetFormatPr defaultRowHeight="15" x14ac:dyDescent="0.25"/>
  <cols>
    <col min="2" max="3" width="19.140625" customWidth="1"/>
    <col min="4" max="4" width="14.85546875" customWidth="1"/>
  </cols>
  <sheetData>
    <row r="1" spans="1:5" ht="45" x14ac:dyDescent="0.25">
      <c r="A1" s="252" t="s">
        <v>496</v>
      </c>
      <c r="B1" s="277" t="s">
        <v>552</v>
      </c>
      <c r="C1" s="277"/>
      <c r="D1" s="277"/>
      <c r="E1" s="277"/>
    </row>
    <row r="2" spans="1:5" ht="27" customHeight="1" x14ac:dyDescent="0.25"/>
    <row r="4" spans="1:5" ht="27.6" customHeight="1" x14ac:dyDescent="0.25">
      <c r="B4" s="279" t="s">
        <v>29</v>
      </c>
      <c r="C4" s="279"/>
      <c r="D4" s="279"/>
    </row>
    <row r="5" spans="1:5" x14ac:dyDescent="0.25">
      <c r="B5" s="250" t="s">
        <v>0</v>
      </c>
      <c r="C5" s="250" t="s">
        <v>1</v>
      </c>
      <c r="D5" s="250" t="s">
        <v>74</v>
      </c>
    </row>
    <row r="6" spans="1:5" x14ac:dyDescent="0.25">
      <c r="B6" s="21" t="s">
        <v>12</v>
      </c>
      <c r="C6" s="21">
        <v>287</v>
      </c>
      <c r="D6" s="11" t="s">
        <v>142</v>
      </c>
    </row>
    <row r="7" spans="1:5" x14ac:dyDescent="0.25">
      <c r="B7" s="21" t="s">
        <v>13</v>
      </c>
      <c r="C7" s="21">
        <v>218</v>
      </c>
      <c r="D7" s="11" t="s">
        <v>142</v>
      </c>
    </row>
    <row r="8" spans="1:5" x14ac:dyDescent="0.25">
      <c r="B8" s="21" t="s">
        <v>14</v>
      </c>
      <c r="C8" s="21">
        <v>199</v>
      </c>
      <c r="D8" s="11" t="s">
        <v>142</v>
      </c>
    </row>
    <row r="9" spans="1:5" ht="25.5" x14ac:dyDescent="0.25">
      <c r="B9" s="21" t="s">
        <v>15</v>
      </c>
      <c r="C9" s="21">
        <v>110</v>
      </c>
      <c r="D9" s="11" t="s">
        <v>554</v>
      </c>
    </row>
    <row r="10" spans="1:5" x14ac:dyDescent="0.25">
      <c r="B10" s="21" t="s">
        <v>16</v>
      </c>
      <c r="C10" s="21">
        <v>6</v>
      </c>
      <c r="D10" s="11" t="s">
        <v>554</v>
      </c>
    </row>
    <row r="11" spans="1:5" ht="25.5" x14ac:dyDescent="0.25">
      <c r="B11" s="21" t="s">
        <v>17</v>
      </c>
      <c r="C11" s="21">
        <v>116</v>
      </c>
      <c r="D11" s="11" t="s">
        <v>554</v>
      </c>
    </row>
    <row r="12" spans="1:5" x14ac:dyDescent="0.25">
      <c r="B12" s="21" t="s">
        <v>18</v>
      </c>
      <c r="C12" s="21">
        <v>175</v>
      </c>
      <c r="D12" s="11" t="s">
        <v>142</v>
      </c>
    </row>
    <row r="13" spans="1:5" x14ac:dyDescent="0.25">
      <c r="B13" s="21" t="s">
        <v>19</v>
      </c>
      <c r="C13" s="21">
        <v>1624</v>
      </c>
      <c r="D13" s="11" t="s">
        <v>142</v>
      </c>
    </row>
    <row r="14" spans="1:5" x14ac:dyDescent="0.25">
      <c r="B14" s="21" t="s">
        <v>20</v>
      </c>
      <c r="C14" s="21">
        <v>13.8</v>
      </c>
      <c r="D14" s="11" t="s">
        <v>142</v>
      </c>
    </row>
    <row r="15" spans="1:5" x14ac:dyDescent="0.25">
      <c r="B15" s="21" t="s">
        <v>21</v>
      </c>
      <c r="C15" s="21">
        <v>8.8000000000000007</v>
      </c>
      <c r="D15" s="11" t="s">
        <v>142</v>
      </c>
    </row>
    <row r="16" spans="1:5" x14ac:dyDescent="0.25">
      <c r="B16" s="21" t="s">
        <v>22</v>
      </c>
      <c r="C16" s="21">
        <v>8</v>
      </c>
      <c r="D16" s="11" t="s">
        <v>555</v>
      </c>
    </row>
    <row r="17" spans="2:4" x14ac:dyDescent="0.25">
      <c r="B17" s="21" t="s">
        <v>553</v>
      </c>
      <c r="C17" s="21">
        <v>1950</v>
      </c>
      <c r="D17" s="11" t="s">
        <v>142</v>
      </c>
    </row>
    <row r="18" spans="2:4" x14ac:dyDescent="0.25">
      <c r="B18" s="21" t="s">
        <v>23</v>
      </c>
      <c r="C18" s="21">
        <v>2766</v>
      </c>
      <c r="D18" s="11" t="s">
        <v>556</v>
      </c>
    </row>
    <row r="19" spans="2:4" x14ac:dyDescent="0.25">
      <c r="B19" s="21" t="s">
        <v>24</v>
      </c>
      <c r="C19" s="21">
        <v>2.2000000000000002</v>
      </c>
      <c r="D19" s="11" t="s">
        <v>557</v>
      </c>
    </row>
    <row r="20" spans="2:4" x14ac:dyDescent="0.25">
      <c r="B20" s="21" t="s">
        <v>25</v>
      </c>
      <c r="C20" s="21">
        <v>9.4</v>
      </c>
      <c r="D20" s="11" t="s">
        <v>142</v>
      </c>
    </row>
    <row r="21" spans="2:4" x14ac:dyDescent="0.25">
      <c r="B21" s="21" t="s">
        <v>26</v>
      </c>
      <c r="C21" s="21">
        <v>0.11</v>
      </c>
      <c r="D21" s="11"/>
    </row>
    <row r="22" spans="2:4" x14ac:dyDescent="0.25">
      <c r="B22" s="21" t="s">
        <v>27</v>
      </c>
      <c r="C22" s="21" t="s">
        <v>28</v>
      </c>
      <c r="D22" s="11" t="s">
        <v>558</v>
      </c>
    </row>
    <row r="23" spans="2:4" ht="38.25" customHeight="1" x14ac:dyDescent="0.25"/>
  </sheetData>
  <mergeCells count="2">
    <mergeCell ref="B1:E1"/>
    <mergeCell ref="B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E731-5357-4E0C-8E73-8D156EE7EDC3}">
  <dimension ref="A1:I50"/>
  <sheetViews>
    <sheetView topLeftCell="A7" zoomScale="77" workbookViewId="0">
      <selection activeCell="J17" sqref="J17"/>
    </sheetView>
  </sheetViews>
  <sheetFormatPr defaultRowHeight="15" x14ac:dyDescent="0.25"/>
  <cols>
    <col min="2" max="2" width="27.7109375" customWidth="1"/>
    <col min="3" max="3" width="12.5703125" bestFit="1" customWidth="1"/>
    <col min="4" max="4" width="12.85546875" bestFit="1" customWidth="1"/>
    <col min="5" max="5" width="14.140625" bestFit="1" customWidth="1"/>
    <col min="6" max="7" width="14.28515625" bestFit="1" customWidth="1"/>
    <col min="10" max="10" width="12.5703125" bestFit="1" customWidth="1"/>
  </cols>
  <sheetData>
    <row r="1" spans="1:9" ht="45" x14ac:dyDescent="0.25">
      <c r="A1" s="252" t="s">
        <v>496</v>
      </c>
      <c r="B1" s="277" t="s">
        <v>548</v>
      </c>
      <c r="C1" s="277"/>
      <c r="D1" s="277"/>
      <c r="E1" s="277"/>
    </row>
    <row r="3" spans="1:9" ht="21" x14ac:dyDescent="0.35">
      <c r="B3" s="248" t="s">
        <v>498</v>
      </c>
    </row>
    <row r="4" spans="1:9" x14ac:dyDescent="0.25">
      <c r="B4" s="283" t="str">
        <f>'Flows and Recovery'!B12</f>
        <v>Process</v>
      </c>
      <c r="C4" s="283" t="str">
        <f>'Flows and Recovery'!C12</f>
        <v>Recovery</v>
      </c>
      <c r="D4" s="283" t="str">
        <f>'Flows and Recovery'!D11</f>
        <v>Average Flow (MGD)</v>
      </c>
      <c r="E4" s="283"/>
      <c r="F4" s="283" t="str">
        <f>'Flows and Recovery'!F11</f>
        <v>Maximum Flow (MGD)</v>
      </c>
      <c r="G4" s="283"/>
      <c r="H4" s="280" t="s">
        <v>544</v>
      </c>
      <c r="I4" s="280"/>
    </row>
    <row r="5" spans="1:9" x14ac:dyDescent="0.25">
      <c r="B5" s="283"/>
      <c r="C5" s="283"/>
      <c r="D5" s="11" t="str">
        <f>'Flows and Recovery'!D12</f>
        <v>In</v>
      </c>
      <c r="E5" s="11" t="str">
        <f>'Flows and Recovery'!E12</f>
        <v>Out</v>
      </c>
      <c r="F5" s="11" t="str">
        <f>'Flows and Recovery'!F12</f>
        <v>In</v>
      </c>
      <c r="G5" s="11" t="str">
        <f>'Flows and Recovery'!G12</f>
        <v>Out</v>
      </c>
      <c r="H5" s="11" t="s">
        <v>545</v>
      </c>
      <c r="I5" s="11" t="s">
        <v>546</v>
      </c>
    </row>
    <row r="6" spans="1:9" x14ac:dyDescent="0.25">
      <c r="B6" s="11" t="str">
        <f>'Flows and Recovery'!B16</f>
        <v>Alum Coagulation</v>
      </c>
      <c r="C6" s="25">
        <f>'Flows and Recovery'!C16</f>
        <v>1</v>
      </c>
      <c r="D6" s="23">
        <f>'Flows and Recovery'!D16</f>
        <v>2.2058823529411762</v>
      </c>
      <c r="E6" s="23">
        <f>'Flows and Recovery'!E16</f>
        <v>2.2058823529411762</v>
      </c>
      <c r="F6" s="23">
        <f>'Flows and Recovery'!F16</f>
        <v>3.3823529411764701</v>
      </c>
      <c r="G6" s="23">
        <f>'Flows and Recovery'!G16</f>
        <v>3.3823529411764701</v>
      </c>
      <c r="H6" s="11">
        <f t="shared" ref="H6:H7" si="0">E6*1000*1000/264*365</f>
        <v>3049799.465240641</v>
      </c>
      <c r="I6" s="11">
        <f t="shared" ref="I6:I7" si="1">G6*1000*1000/264*365</f>
        <v>4676359.1800356507</v>
      </c>
    </row>
    <row r="7" spans="1:9" x14ac:dyDescent="0.25">
      <c r="B7" s="11" t="str">
        <f>'Flows and Recovery'!B15</f>
        <v>Media Filtration</v>
      </c>
      <c r="C7" s="25">
        <f>'Flows and Recovery'!C15</f>
        <v>1</v>
      </c>
      <c r="D7" s="23">
        <f>'Flows and Recovery'!D15</f>
        <v>2.2058823529411762</v>
      </c>
      <c r="E7" s="23">
        <f>'Flows and Recovery'!E15</f>
        <v>2.2058823529411762</v>
      </c>
      <c r="F7" s="23">
        <f>'Flows and Recovery'!F15</f>
        <v>3.3823529411764701</v>
      </c>
      <c r="G7" s="23">
        <f>'Flows and Recovery'!G15</f>
        <v>3.3823529411764701</v>
      </c>
      <c r="H7" s="11">
        <f t="shared" si="0"/>
        <v>3049799.465240641</v>
      </c>
      <c r="I7" s="11">
        <f t="shared" si="1"/>
        <v>4676359.1800356507</v>
      </c>
    </row>
    <row r="8" spans="1:9" x14ac:dyDescent="0.25">
      <c r="B8" s="11" t="str">
        <f>'Flows and Recovery'!B14</f>
        <v>EDR</v>
      </c>
      <c r="C8" s="25">
        <f>'Flows and Recovery'!C14</f>
        <v>0.68</v>
      </c>
      <c r="D8" s="23">
        <f>'Flows and Recovery'!D14</f>
        <v>2.2058823529411762</v>
      </c>
      <c r="E8" s="23">
        <f>'Flows and Recovery'!E14</f>
        <v>1.5</v>
      </c>
      <c r="F8" s="23">
        <f>'Flows and Recovery'!F14</f>
        <v>3.3823529411764701</v>
      </c>
      <c r="G8" s="23">
        <f>'Flows and Recovery'!G14</f>
        <v>2.2999999999999998</v>
      </c>
      <c r="H8" s="11">
        <f>E8*1000*1000/264*365</f>
        <v>2073863.6363636365</v>
      </c>
      <c r="I8" s="11">
        <f>G8*1000*1000/264*365</f>
        <v>3179924.2424242422</v>
      </c>
    </row>
    <row r="10" spans="1:9" ht="21" x14ac:dyDescent="0.35">
      <c r="B10" s="248" t="s">
        <v>519</v>
      </c>
    </row>
    <row r="11" spans="1:9" x14ac:dyDescent="0.25">
      <c r="B11" s="284" t="s">
        <v>196</v>
      </c>
      <c r="C11" s="284" t="s">
        <v>31</v>
      </c>
      <c r="D11" s="284"/>
      <c r="E11" s="284"/>
      <c r="F11" s="283" t="s">
        <v>199</v>
      </c>
    </row>
    <row r="12" spans="1:9" x14ac:dyDescent="0.25">
      <c r="B12" s="284"/>
      <c r="C12" s="11" t="s">
        <v>197</v>
      </c>
      <c r="D12" s="11" t="s">
        <v>33</v>
      </c>
      <c r="E12" s="11" t="s">
        <v>32</v>
      </c>
      <c r="F12" s="283"/>
    </row>
    <row r="13" spans="1:9" x14ac:dyDescent="0.25">
      <c r="B13" s="89" t="s">
        <v>195</v>
      </c>
      <c r="C13" s="90">
        <f>'WaTER I_O-Baseline-Alum'!E46</f>
        <v>261154.77071817909</v>
      </c>
      <c r="D13" s="91">
        <f>'WaTER I_O-Baseline-MediaF'!E51</f>
        <v>2827656.8686463707</v>
      </c>
      <c r="E13" s="91">
        <f>'WaTER I_O - Baseline-EDR'!D92</f>
        <v>11107800</v>
      </c>
      <c r="F13" s="91">
        <f>SUM(C13:E13)</f>
        <v>14196611.63936455</v>
      </c>
    </row>
    <row r="14" spans="1:9" x14ac:dyDescent="0.25">
      <c r="B14" s="11" t="s">
        <v>214</v>
      </c>
      <c r="C14" s="92">
        <f>'WaTER I_O-Baseline-Alum'!D48</f>
        <v>18972.60982310856</v>
      </c>
      <c r="D14" s="92">
        <f>'WaTER I_O-Baseline-MediaF'!D58</f>
        <v>0</v>
      </c>
      <c r="E14" s="91">
        <f>'WaTER I_O - Baseline-EDR'!D87</f>
        <v>806969.57904914638</v>
      </c>
      <c r="F14" s="91">
        <f>SUM(C14:E14)</f>
        <v>825942.18887225492</v>
      </c>
    </row>
    <row r="17" spans="2:9" ht="21" x14ac:dyDescent="0.35">
      <c r="B17" s="248" t="s">
        <v>541</v>
      </c>
      <c r="C17" s="281"/>
      <c r="D17" s="281"/>
      <c r="E17" s="281"/>
    </row>
    <row r="18" spans="2:9" x14ac:dyDescent="0.25">
      <c r="B18" s="93" t="s">
        <v>221</v>
      </c>
      <c r="C18" s="94" t="s">
        <v>197</v>
      </c>
      <c r="D18" s="11" t="s">
        <v>33</v>
      </c>
      <c r="E18" s="11" t="s">
        <v>32</v>
      </c>
      <c r="F18" s="11" t="s">
        <v>199</v>
      </c>
    </row>
    <row r="19" spans="2:9" x14ac:dyDescent="0.25">
      <c r="B19" s="14" t="s">
        <v>218</v>
      </c>
      <c r="C19" s="95">
        <f>'WaTER I_O-Baseline-Alum'!E31</f>
        <v>131441.93445121206</v>
      </c>
      <c r="D19" s="98">
        <v>0</v>
      </c>
      <c r="E19" s="98">
        <v>0</v>
      </c>
      <c r="F19" s="95">
        <f>SUM(C19:E19)</f>
        <v>131441.93445121206</v>
      </c>
    </row>
    <row r="20" spans="2:9" x14ac:dyDescent="0.25">
      <c r="B20" s="11" t="s">
        <v>219</v>
      </c>
      <c r="C20" s="98">
        <v>0</v>
      </c>
      <c r="D20" s="95">
        <f>'WaTER I_O-Baseline-MediaF'!E36</f>
        <v>313959.24000000005</v>
      </c>
      <c r="E20" s="98">
        <v>0</v>
      </c>
      <c r="F20" s="95">
        <f>SUM(C20:E20)</f>
        <v>313959.24000000005</v>
      </c>
    </row>
    <row r="21" spans="2:9" x14ac:dyDescent="0.25">
      <c r="B21" s="14" t="s">
        <v>215</v>
      </c>
      <c r="C21" s="98">
        <v>0</v>
      </c>
      <c r="D21" s="98">
        <v>0</v>
      </c>
      <c r="E21" s="98">
        <v>457673.00984139403</v>
      </c>
      <c r="F21" s="95">
        <f>SUM(C21:E21)</f>
        <v>457673.00984139403</v>
      </c>
    </row>
    <row r="22" spans="2:9" x14ac:dyDescent="0.25">
      <c r="B22" s="14" t="s">
        <v>217</v>
      </c>
      <c r="C22" s="95">
        <f>'WaTER I_O-Baseline-Alum'!E28</f>
        <v>378.42127120156488</v>
      </c>
      <c r="D22" s="95">
        <f>'WaTER I_O-Baseline-MediaF'!E33</f>
        <v>0</v>
      </c>
      <c r="E22" s="98">
        <v>2580606.4197774446</v>
      </c>
      <c r="F22" s="95">
        <f>SUM(C22:E22)</f>
        <v>2580984.8410486463</v>
      </c>
    </row>
    <row r="23" spans="2:9" x14ac:dyDescent="0.25">
      <c r="B23" s="14" t="s">
        <v>161</v>
      </c>
      <c r="C23" s="98">
        <v>0</v>
      </c>
      <c r="D23" s="98">
        <v>0</v>
      </c>
      <c r="E23" s="95">
        <f>'WaTER I_O - Baseline-EDR'!D74</f>
        <v>583270</v>
      </c>
      <c r="F23" s="95">
        <f>SUM(C23:E23)</f>
        <v>583270</v>
      </c>
    </row>
    <row r="25" spans="2:9" ht="21" x14ac:dyDescent="0.35">
      <c r="B25" s="248" t="s">
        <v>542</v>
      </c>
    </row>
    <row r="26" spans="2:9" x14ac:dyDescent="0.25">
      <c r="B26" s="93" t="s">
        <v>221</v>
      </c>
      <c r="C26" s="94" t="str">
        <f>C18</f>
        <v>Alum Coagulation</v>
      </c>
      <c r="D26" s="11" t="str">
        <f>D18</f>
        <v>Media Filtration</v>
      </c>
      <c r="E26" s="11" t="str">
        <f>E18</f>
        <v>EDR</v>
      </c>
      <c r="F26" s="11" t="s">
        <v>228</v>
      </c>
      <c r="G26" s="11" t="str">
        <f>F18</f>
        <v>Total</v>
      </c>
    </row>
    <row r="27" spans="2:9" ht="18" x14ac:dyDescent="0.25">
      <c r="B27" s="14" t="str">
        <f>B19</f>
        <v>Chemicals (Alum)</v>
      </c>
      <c r="C27" s="98">
        <f>C19</f>
        <v>131441.93445121206</v>
      </c>
      <c r="D27" s="98">
        <v>0</v>
      </c>
      <c r="E27" s="98">
        <v>0</v>
      </c>
      <c r="F27" s="98">
        <v>0</v>
      </c>
      <c r="G27" s="95">
        <f>SUM(C27:F27)</f>
        <v>131441.93445121206</v>
      </c>
      <c r="I27" s="10" t="s">
        <v>233</v>
      </c>
    </row>
    <row r="28" spans="2:9" x14ac:dyDescent="0.25">
      <c r="B28" s="14" t="str">
        <f>B20</f>
        <v>Media Replacement</v>
      </c>
      <c r="C28" s="98">
        <v>0</v>
      </c>
      <c r="D28" s="98">
        <f>D20</f>
        <v>313959.24000000005</v>
      </c>
      <c r="E28" s="98">
        <v>0</v>
      </c>
      <c r="F28" s="98">
        <v>0</v>
      </c>
      <c r="G28" s="95">
        <f t="shared" ref="G28:G32" si="2">SUM(C28:F28)</f>
        <v>313959.24000000005</v>
      </c>
    </row>
    <row r="29" spans="2:9" x14ac:dyDescent="0.25">
      <c r="B29" s="14" t="str">
        <f>B21</f>
        <v>Membrane Replacement</v>
      </c>
      <c r="C29" s="98">
        <v>0</v>
      </c>
      <c r="D29" s="98">
        <v>0</v>
      </c>
      <c r="E29" s="98">
        <f>E21</f>
        <v>457673.00984139403</v>
      </c>
      <c r="F29" s="98">
        <v>0</v>
      </c>
      <c r="G29" s="95">
        <f t="shared" si="2"/>
        <v>457673.00984139403</v>
      </c>
    </row>
    <row r="30" spans="2:9" x14ac:dyDescent="0.25">
      <c r="B30" s="14" t="str">
        <f>B22</f>
        <v>Maintenance/Materials</v>
      </c>
      <c r="C30" s="98">
        <f>C22</f>
        <v>378.42127120156488</v>
      </c>
      <c r="D30" s="98">
        <v>0</v>
      </c>
      <c r="E30" s="98">
        <f>E22</f>
        <v>2580606.4197774446</v>
      </c>
      <c r="F30" s="98">
        <v>0</v>
      </c>
      <c r="G30" s="95">
        <f t="shared" si="2"/>
        <v>2580984.8410486463</v>
      </c>
    </row>
    <row r="31" spans="2:9" x14ac:dyDescent="0.25">
      <c r="B31" s="14" t="s">
        <v>161</v>
      </c>
      <c r="C31" s="98">
        <v>0</v>
      </c>
      <c r="D31" s="98">
        <v>0</v>
      </c>
      <c r="E31" s="98">
        <v>0</v>
      </c>
      <c r="F31" s="88">
        <f>E23</f>
        <v>583270</v>
      </c>
      <c r="G31" s="95">
        <f t="shared" si="2"/>
        <v>583270</v>
      </c>
    </row>
    <row r="32" spans="2:9" x14ac:dyDescent="0.25">
      <c r="B32" s="11" t="s">
        <v>160</v>
      </c>
      <c r="C32" s="98">
        <v>0</v>
      </c>
      <c r="D32" s="98">
        <v>0</v>
      </c>
      <c r="E32" s="98">
        <v>0</v>
      </c>
      <c r="F32" s="95">
        <f>D42</f>
        <v>180000</v>
      </c>
      <c r="G32" s="95">
        <f t="shared" si="2"/>
        <v>180000</v>
      </c>
    </row>
    <row r="33" spans="2:7" x14ac:dyDescent="0.25">
      <c r="B33" s="96" t="s">
        <v>230</v>
      </c>
      <c r="C33" s="98">
        <f>SUM(C27:C32)</f>
        <v>131820.35572241363</v>
      </c>
      <c r="D33" s="98">
        <f t="shared" ref="D33:F33" si="3">SUM(D27:D32)</f>
        <v>313959.24000000005</v>
      </c>
      <c r="E33" s="98">
        <f t="shared" si="3"/>
        <v>3038279.4296188387</v>
      </c>
      <c r="F33" s="98">
        <f t="shared" si="3"/>
        <v>763270</v>
      </c>
      <c r="G33" s="98">
        <f>SUM(G27:G32)</f>
        <v>4247329.0253412519</v>
      </c>
    </row>
    <row r="34" spans="2:7" x14ac:dyDescent="0.25">
      <c r="B34" s="99"/>
      <c r="C34" s="100"/>
      <c r="D34" s="101"/>
      <c r="E34" s="100"/>
      <c r="F34" s="101"/>
      <c r="G34" s="101"/>
    </row>
    <row r="35" spans="2:7" ht="21" x14ac:dyDescent="0.35">
      <c r="B35" s="248" t="s">
        <v>549</v>
      </c>
      <c r="E35" s="102"/>
      <c r="F35" s="88"/>
      <c r="G35" s="88"/>
    </row>
    <row r="36" spans="2:7" x14ac:dyDescent="0.25">
      <c r="B36" s="11"/>
      <c r="C36" s="11" t="s">
        <v>31</v>
      </c>
      <c r="D36" s="14" t="s">
        <v>216</v>
      </c>
      <c r="E36" s="102"/>
      <c r="F36" s="88"/>
      <c r="G36" s="88"/>
    </row>
    <row r="37" spans="2:7" x14ac:dyDescent="0.25">
      <c r="B37" s="282" t="s">
        <v>226</v>
      </c>
      <c r="C37" s="94" t="s">
        <v>197</v>
      </c>
      <c r="D37" s="95">
        <f>'WaTER I_O-Baseline-Alum'!E29</f>
        <v>475.56201151900649</v>
      </c>
      <c r="E37" s="102"/>
      <c r="F37" s="88"/>
      <c r="G37" s="88"/>
    </row>
    <row r="38" spans="2:7" x14ac:dyDescent="0.25">
      <c r="B38" s="282"/>
      <c r="C38" s="11" t="s">
        <v>33</v>
      </c>
      <c r="D38" s="95">
        <f>'WaTER I_O-Baseline-MediaF'!E34</f>
        <v>23706.324935675202</v>
      </c>
      <c r="E38" s="102"/>
      <c r="F38" s="88"/>
      <c r="G38" s="88"/>
    </row>
    <row r="39" spans="2:7" x14ac:dyDescent="0.25">
      <c r="B39" s="282"/>
      <c r="C39" s="11" t="s">
        <v>32</v>
      </c>
      <c r="D39" s="98">
        <v>159606.4989767769</v>
      </c>
      <c r="E39" s="102"/>
      <c r="F39" s="88"/>
      <c r="G39" s="88"/>
    </row>
    <row r="40" spans="2:7" x14ac:dyDescent="0.25">
      <c r="B40" s="282"/>
      <c r="C40" s="11" t="s">
        <v>199</v>
      </c>
      <c r="D40" s="95">
        <f>SUM(D37:D39)</f>
        <v>183788.3859239711</v>
      </c>
      <c r="E40" s="102"/>
      <c r="F40" s="88"/>
      <c r="G40" s="88"/>
    </row>
    <row r="41" spans="2:7" x14ac:dyDescent="0.25">
      <c r="B41" s="282" t="s">
        <v>222</v>
      </c>
      <c r="C41" s="11" t="s">
        <v>224</v>
      </c>
      <c r="D41" s="95">
        <v>15000</v>
      </c>
      <c r="E41" s="102"/>
      <c r="F41" s="88"/>
      <c r="G41" s="88"/>
    </row>
    <row r="42" spans="2:7" x14ac:dyDescent="0.25">
      <c r="B42" s="282"/>
      <c r="C42" s="11" t="s">
        <v>223</v>
      </c>
      <c r="D42" s="95">
        <f>D41*12</f>
        <v>180000</v>
      </c>
      <c r="E42" s="102"/>
      <c r="F42" s="88"/>
      <c r="G42" s="88"/>
    </row>
    <row r="43" spans="2:7" x14ac:dyDescent="0.25">
      <c r="B43" s="283" t="s">
        <v>225</v>
      </c>
      <c r="C43" s="283"/>
      <c r="D43" s="25">
        <f>ABS(D42-D40)/AVERAGE(D42, D40)</f>
        <v>2.0827415445653315E-2</v>
      </c>
      <c r="E43" s="102"/>
      <c r="F43" s="88"/>
      <c r="G43" s="88"/>
    </row>
    <row r="44" spans="2:7" x14ac:dyDescent="0.25">
      <c r="C44" s="102"/>
      <c r="D44" s="88"/>
      <c r="E44" s="102"/>
      <c r="F44" s="88"/>
      <c r="G44" s="88"/>
    </row>
    <row r="45" spans="2:7" ht="21" x14ac:dyDescent="0.35">
      <c r="B45" s="248" t="s">
        <v>227</v>
      </c>
      <c r="C45" s="102"/>
      <c r="D45" s="88"/>
      <c r="E45" s="102"/>
      <c r="F45" s="88"/>
      <c r="G45" s="88"/>
    </row>
    <row r="46" spans="2:7" x14ac:dyDescent="0.25">
      <c r="B46" s="93" t="s">
        <v>229</v>
      </c>
      <c r="C46" s="94" t="s">
        <v>197</v>
      </c>
      <c r="D46" s="11" t="s">
        <v>33</v>
      </c>
      <c r="E46" s="11" t="s">
        <v>32</v>
      </c>
      <c r="F46" s="11" t="s">
        <v>228</v>
      </c>
      <c r="G46" s="11" t="s">
        <v>199</v>
      </c>
    </row>
    <row r="47" spans="2:7" x14ac:dyDescent="0.25">
      <c r="B47" s="14" t="s">
        <v>207</v>
      </c>
      <c r="C47" s="98">
        <f>C14</f>
        <v>18972.60982310856</v>
      </c>
      <c r="D47" s="98">
        <f>D14</f>
        <v>0</v>
      </c>
      <c r="E47" s="98">
        <f>E14</f>
        <v>806969.57904914638</v>
      </c>
      <c r="F47" s="95"/>
      <c r="G47" s="95">
        <f>SUM(C47:F47)</f>
        <v>825942.18887225492</v>
      </c>
    </row>
    <row r="48" spans="2:7" x14ac:dyDescent="0.25">
      <c r="B48" s="96" t="s">
        <v>220</v>
      </c>
      <c r="C48" s="95">
        <f>C33</f>
        <v>131820.35572241363</v>
      </c>
      <c r="D48" s="95">
        <f t="shared" ref="D48:G48" si="4">D33</f>
        <v>313959.24000000005</v>
      </c>
      <c r="E48" s="95">
        <f t="shared" si="4"/>
        <v>3038279.4296188387</v>
      </c>
      <c r="F48" s="95">
        <f>F33</f>
        <v>763270</v>
      </c>
      <c r="G48" s="95">
        <f t="shared" si="4"/>
        <v>4247329.0253412519</v>
      </c>
    </row>
    <row r="49" spans="2:7" x14ac:dyDescent="0.25">
      <c r="B49" s="96" t="s">
        <v>232</v>
      </c>
      <c r="C49" s="95">
        <f>SUM(C47:C48)</f>
        <v>150792.96554552219</v>
      </c>
      <c r="D49" s="95">
        <f t="shared" ref="D49:G49" si="5">SUM(D47:D48)</f>
        <v>313959.24000000005</v>
      </c>
      <c r="E49" s="95">
        <f t="shared" si="5"/>
        <v>3845249.008667985</v>
      </c>
      <c r="F49" s="95">
        <f t="shared" si="5"/>
        <v>763270</v>
      </c>
      <c r="G49" s="95">
        <f t="shared" si="5"/>
        <v>5073271.2142135072</v>
      </c>
    </row>
    <row r="50" spans="2:7" x14ac:dyDescent="0.25">
      <c r="B50" s="96" t="s">
        <v>231</v>
      </c>
      <c r="C50" s="97">
        <f>C49/$H$8</f>
        <v>7.2711128591813431E-2</v>
      </c>
      <c r="D50" s="97">
        <f>D49/$H$8</f>
        <v>0.15138856504109591</v>
      </c>
      <c r="E50" s="97">
        <f>E49/$H$8</f>
        <v>1.8541474671933296</v>
      </c>
      <c r="F50" s="97">
        <f>F49/$H$8</f>
        <v>0.36804252054794517</v>
      </c>
      <c r="G50" s="97">
        <f>G49/$H$8</f>
        <v>2.4462896813741843</v>
      </c>
    </row>
  </sheetData>
  <mergeCells count="13">
    <mergeCell ref="B43:C43"/>
    <mergeCell ref="B1:E1"/>
    <mergeCell ref="H4:I4"/>
    <mergeCell ref="C17:E17"/>
    <mergeCell ref="B37:B40"/>
    <mergeCell ref="B41:B42"/>
    <mergeCell ref="F4:G4"/>
    <mergeCell ref="D4:E4"/>
    <mergeCell ref="C4:C5"/>
    <mergeCell ref="B4:B5"/>
    <mergeCell ref="C11:E11"/>
    <mergeCell ref="F11:F12"/>
    <mergeCell ref="B11:B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094B-FCE3-437B-B707-9C4615863DEA}">
  <dimension ref="A1:I39"/>
  <sheetViews>
    <sheetView zoomScale="80" zoomScaleNormal="160" workbookViewId="0">
      <selection activeCell="B34" sqref="B34"/>
    </sheetView>
  </sheetViews>
  <sheetFormatPr defaultRowHeight="15" x14ac:dyDescent="0.25"/>
  <cols>
    <col min="1" max="1" width="10.42578125" customWidth="1"/>
    <col min="2" max="2" width="42.140625" bestFit="1" customWidth="1"/>
    <col min="3" max="6" width="10.85546875" customWidth="1"/>
    <col min="8" max="9" width="13.5703125" customWidth="1"/>
  </cols>
  <sheetData>
    <row r="1" spans="1:9" ht="45" x14ac:dyDescent="0.25">
      <c r="A1" s="252" t="s">
        <v>496</v>
      </c>
      <c r="B1" s="277" t="s">
        <v>547</v>
      </c>
      <c r="C1" s="277"/>
      <c r="D1" s="277"/>
      <c r="E1" s="277"/>
    </row>
    <row r="3" spans="1:9" ht="21" x14ac:dyDescent="0.35">
      <c r="B3" s="248" t="s">
        <v>498</v>
      </c>
    </row>
    <row r="4" spans="1:9" ht="28.15" customHeight="1" x14ac:dyDescent="0.25">
      <c r="B4" s="283" t="str">
        <f>'Flows and Recovery'!B12</f>
        <v>Process</v>
      </c>
      <c r="C4" s="283" t="str">
        <f>'Flows and Recovery'!C12</f>
        <v>Recovery</v>
      </c>
      <c r="D4" s="11" t="str">
        <f>'Flows and Recovery'!D11</f>
        <v>Average Flow (MGD)</v>
      </c>
      <c r="E4" s="11"/>
      <c r="F4" s="283" t="str">
        <f>'Flows and Recovery'!F11</f>
        <v>Maximum Flow (MGD)</v>
      </c>
      <c r="G4" s="283"/>
      <c r="H4" s="280" t="s">
        <v>544</v>
      </c>
      <c r="I4" s="280"/>
    </row>
    <row r="5" spans="1:9" x14ac:dyDescent="0.25">
      <c r="B5" s="283"/>
      <c r="C5" s="283"/>
      <c r="D5" s="11" t="str">
        <f>'Flows and Recovery'!D12</f>
        <v>In</v>
      </c>
      <c r="E5" s="11" t="str">
        <f>'Flows and Recovery'!E12</f>
        <v>Out</v>
      </c>
      <c r="F5" s="11" t="str">
        <f>'Flows and Recovery'!F12</f>
        <v>In</v>
      </c>
      <c r="G5" s="11" t="str">
        <f>'Flows and Recovery'!G12</f>
        <v>Out</v>
      </c>
      <c r="H5" s="11" t="s">
        <v>545</v>
      </c>
      <c r="I5" s="11" t="s">
        <v>546</v>
      </c>
    </row>
    <row r="6" spans="1:9" x14ac:dyDescent="0.25">
      <c r="B6" s="11" t="s">
        <v>35</v>
      </c>
      <c r="C6" s="17">
        <v>0.89</v>
      </c>
      <c r="D6" s="23">
        <f>'Flows and Recovery'!D19</f>
        <v>1.6853932584269662</v>
      </c>
      <c r="E6" s="23">
        <f>'Flows and Recovery'!E19</f>
        <v>1.5</v>
      </c>
      <c r="F6" s="23">
        <f>'Flows and Recovery'!F19</f>
        <v>2.584269662921348</v>
      </c>
      <c r="G6" s="23">
        <f>'Flows and Recovery'!G19</f>
        <v>2.2999999999999998</v>
      </c>
      <c r="H6" s="24">
        <f>E6*1000*1000/264*365</f>
        <v>2073863.6363636365</v>
      </c>
      <c r="I6" s="24">
        <f>G6*1000*1000/264*365</f>
        <v>3179924.2424242422</v>
      </c>
    </row>
    <row r="7" spans="1:9" x14ac:dyDescent="0.25">
      <c r="B7" s="11" t="s">
        <v>36</v>
      </c>
      <c r="C7" s="17">
        <v>0.9</v>
      </c>
      <c r="D7" s="23">
        <f>'Flows and Recovery'!D20</f>
        <v>1.8726591760299625</v>
      </c>
      <c r="E7" s="23">
        <f>'Flows and Recovery'!E20</f>
        <v>1.6853932584269662</v>
      </c>
      <c r="F7" s="23">
        <f>'Flows and Recovery'!F20</f>
        <v>2.8714107365792754</v>
      </c>
      <c r="G7" s="23">
        <f>'Flows and Recovery'!G20</f>
        <v>2.584269662921348</v>
      </c>
      <c r="H7" s="24">
        <f>E7*1000*1000/264*365</f>
        <v>2330183.8610827373</v>
      </c>
      <c r="I7" s="24">
        <f>G7*1000*1000/264*365</f>
        <v>3572948.5869935299</v>
      </c>
    </row>
    <row r="8" spans="1:9" x14ac:dyDescent="0.25">
      <c r="B8" s="11" t="s">
        <v>235</v>
      </c>
      <c r="C8" s="17">
        <f>C7*C6</f>
        <v>0.80100000000000005</v>
      </c>
      <c r="D8" s="285"/>
      <c r="E8" s="285"/>
      <c r="F8" s="285"/>
      <c r="G8" s="285"/>
      <c r="H8" s="285"/>
      <c r="I8" s="285"/>
    </row>
    <row r="10" spans="1:9" ht="21" x14ac:dyDescent="0.35">
      <c r="B10" s="248" t="s">
        <v>519</v>
      </c>
    </row>
    <row r="11" spans="1:9" x14ac:dyDescent="0.25">
      <c r="B11" s="103" t="s">
        <v>196</v>
      </c>
      <c r="C11" s="11" t="s">
        <v>36</v>
      </c>
      <c r="D11" s="11" t="s">
        <v>35</v>
      </c>
      <c r="E11" s="26" t="s">
        <v>199</v>
      </c>
    </row>
    <row r="12" spans="1:9" x14ac:dyDescent="0.25">
      <c r="B12" s="89" t="s">
        <v>195</v>
      </c>
      <c r="C12" s="90">
        <f>'WaTER I_O - Case 2 MF'!D80</f>
        <v>1190370.8887290838</v>
      </c>
      <c r="D12" s="91">
        <f>'WaTER I_O - Case 2 NF'!D86</f>
        <v>4781841.9791265214</v>
      </c>
      <c r="E12" s="91">
        <f>SUM(C12:D12)</f>
        <v>5972212.8678556047</v>
      </c>
    </row>
    <row r="13" spans="1:9" x14ac:dyDescent="0.25">
      <c r="B13" s="11" t="s">
        <v>214</v>
      </c>
      <c r="C13" s="92">
        <f>'WaTER I_O - Case 2 MF'!D86</f>
        <v>86000</v>
      </c>
      <c r="D13" s="92">
        <f>'WaTER I_O - Case 2 NF'!D92</f>
        <v>347395.61470095481</v>
      </c>
      <c r="E13" s="91">
        <f>SUM(C13:D13)</f>
        <v>433395.61470095481</v>
      </c>
    </row>
    <row r="15" spans="1:9" ht="21" x14ac:dyDescent="0.35">
      <c r="B15" s="248" t="s">
        <v>541</v>
      </c>
      <c r="C15" s="104"/>
      <c r="D15" s="104"/>
    </row>
    <row r="16" spans="1:9" x14ac:dyDescent="0.25">
      <c r="B16" s="93" t="s">
        <v>221</v>
      </c>
      <c r="C16" s="11" t="s">
        <v>36</v>
      </c>
      <c r="D16" s="11" t="s">
        <v>35</v>
      </c>
      <c r="E16" s="11" t="s">
        <v>199</v>
      </c>
    </row>
    <row r="17" spans="2:7" x14ac:dyDescent="0.25">
      <c r="B17" s="14" t="s">
        <v>322</v>
      </c>
      <c r="C17" s="95">
        <f>'WaTER I_O - Case 2 MF'!D55</f>
        <v>11555.559126765964</v>
      </c>
      <c r="D17" s="98">
        <f>'WaTER I_O - Case 2 NF'!D68</f>
        <v>48650.718461274962</v>
      </c>
      <c r="E17" s="95">
        <f t="shared" ref="E17:E22" si="0">SUM(C17:D17)</f>
        <v>60206.277588040924</v>
      </c>
    </row>
    <row r="18" spans="2:7" x14ac:dyDescent="0.25">
      <c r="B18" s="11" t="s">
        <v>215</v>
      </c>
      <c r="C18" s="98">
        <f>'WaTER I_O - Case 2 MF'!D58</f>
        <v>9000</v>
      </c>
      <c r="D18" s="95">
        <f>'WaTER I_O - Case 2 NF'!D70</f>
        <v>119997.04465142688</v>
      </c>
      <c r="E18" s="95">
        <f t="shared" si="0"/>
        <v>128997.04465142688</v>
      </c>
    </row>
    <row r="19" spans="2:7" x14ac:dyDescent="0.25">
      <c r="B19" s="14" t="s">
        <v>323</v>
      </c>
      <c r="C19" s="98">
        <f>'WaTER I_O - Case 2 MF'!D57+'WaTER I_O - Case 2 MF'!D59</f>
        <v>4000</v>
      </c>
      <c r="D19" s="95">
        <f>'WaTER I_O - Case 2 NF'!D71</f>
        <v>6258.3862923733786</v>
      </c>
      <c r="E19" s="95">
        <f t="shared" si="0"/>
        <v>10258.38629237338</v>
      </c>
    </row>
    <row r="20" spans="2:7" x14ac:dyDescent="0.25">
      <c r="B20" s="14" t="s">
        <v>313</v>
      </c>
      <c r="C20" s="95">
        <v>0</v>
      </c>
      <c r="D20" s="95">
        <f>'WaTER I_O - Case 2 NF'!D72</f>
        <v>0</v>
      </c>
      <c r="E20" s="95">
        <f t="shared" si="0"/>
        <v>0</v>
      </c>
    </row>
    <row r="21" spans="2:7" x14ac:dyDescent="0.25">
      <c r="B21" s="14" t="s">
        <v>324</v>
      </c>
      <c r="C21" s="98">
        <f>'WaTER I_O - Case 2 MF'!D60</f>
        <v>17000</v>
      </c>
      <c r="D21" s="95">
        <f>'WaTER I_O - Case 2 NF'!D73</f>
        <v>44706.353608711172</v>
      </c>
      <c r="E21" s="95">
        <f t="shared" si="0"/>
        <v>61706.353608711172</v>
      </c>
    </row>
    <row r="22" spans="2:7" x14ac:dyDescent="0.25">
      <c r="B22" s="14" t="s">
        <v>325</v>
      </c>
      <c r="C22" s="98">
        <v>0</v>
      </c>
      <c r="D22" s="95">
        <f>'WaTER I_O - Case 2 NF'!D74</f>
        <v>17882.541443484468</v>
      </c>
      <c r="E22" s="95">
        <f t="shared" si="0"/>
        <v>17882.541443484468</v>
      </c>
    </row>
    <row r="24" spans="2:7" ht="21" x14ac:dyDescent="0.35">
      <c r="B24" s="248" t="s">
        <v>542</v>
      </c>
    </row>
    <row r="25" spans="2:7" x14ac:dyDescent="0.25">
      <c r="B25" s="93" t="s">
        <v>221</v>
      </c>
      <c r="C25" s="94" t="str">
        <f t="shared" ref="C25:D28" si="1">C16</f>
        <v>MF</v>
      </c>
      <c r="D25" s="11" t="str">
        <f t="shared" si="1"/>
        <v>NF</v>
      </c>
      <c r="E25" s="11" t="s">
        <v>228</v>
      </c>
      <c r="F25" s="11" t="str">
        <f>E16</f>
        <v>Total</v>
      </c>
    </row>
    <row r="26" spans="2:7" x14ac:dyDescent="0.25">
      <c r="B26" s="14" t="s">
        <v>322</v>
      </c>
      <c r="C26" s="98">
        <f t="shared" si="1"/>
        <v>11555.559126765964</v>
      </c>
      <c r="D26" s="98">
        <f t="shared" si="1"/>
        <v>48650.718461274962</v>
      </c>
      <c r="E26" s="98">
        <v>0</v>
      </c>
      <c r="F26" s="95">
        <f t="shared" ref="F26:F31" si="2">SUM(C26:E26)</f>
        <v>60206.277588040924</v>
      </c>
    </row>
    <row r="27" spans="2:7" x14ac:dyDescent="0.25">
      <c r="B27" s="14" t="s">
        <v>215</v>
      </c>
      <c r="C27" s="98">
        <f t="shared" si="1"/>
        <v>9000</v>
      </c>
      <c r="D27" s="98">
        <f t="shared" si="1"/>
        <v>119997.04465142688</v>
      </c>
      <c r="E27" s="98">
        <v>0</v>
      </c>
      <c r="F27" s="95">
        <f t="shared" si="2"/>
        <v>128997.04465142688</v>
      </c>
    </row>
    <row r="28" spans="2:7" x14ac:dyDescent="0.25">
      <c r="B28" s="14" t="s">
        <v>323</v>
      </c>
      <c r="C28" s="98">
        <f t="shared" si="1"/>
        <v>4000</v>
      </c>
      <c r="D28" s="98">
        <f t="shared" si="1"/>
        <v>6258.3862923733786</v>
      </c>
      <c r="E28" s="98">
        <v>0</v>
      </c>
      <c r="F28" s="95">
        <f t="shared" si="2"/>
        <v>10258.38629237338</v>
      </c>
    </row>
    <row r="29" spans="2:7" x14ac:dyDescent="0.25">
      <c r="B29" s="14" t="s">
        <v>324</v>
      </c>
      <c r="C29" s="98">
        <f t="shared" ref="C29:D31" si="3">C21</f>
        <v>17000</v>
      </c>
      <c r="D29" s="98">
        <f t="shared" si="3"/>
        <v>44706.353608711172</v>
      </c>
      <c r="E29" s="98">
        <v>0</v>
      </c>
      <c r="F29" s="95">
        <f t="shared" si="2"/>
        <v>61706.353608711172</v>
      </c>
    </row>
    <row r="30" spans="2:7" x14ac:dyDescent="0.25">
      <c r="B30" s="11" t="s">
        <v>325</v>
      </c>
      <c r="C30" s="98">
        <f t="shared" si="3"/>
        <v>0</v>
      </c>
      <c r="D30" s="98">
        <f t="shared" si="3"/>
        <v>17882.541443484468</v>
      </c>
      <c r="E30" s="98">
        <v>0</v>
      </c>
      <c r="F30" s="95">
        <f t="shared" si="2"/>
        <v>17882.541443484468</v>
      </c>
    </row>
    <row r="31" spans="2:7" x14ac:dyDescent="0.25">
      <c r="B31" s="11" t="s">
        <v>161</v>
      </c>
      <c r="C31" s="98">
        <f t="shared" si="3"/>
        <v>0</v>
      </c>
      <c r="D31" s="98">
        <f t="shared" si="3"/>
        <v>0</v>
      </c>
      <c r="E31" s="95">
        <v>466616.00000000006</v>
      </c>
      <c r="F31" s="95">
        <f t="shared" si="2"/>
        <v>466616.00000000006</v>
      </c>
      <c r="G31" t="s">
        <v>345</v>
      </c>
    </row>
    <row r="32" spans="2:7" x14ac:dyDescent="0.25">
      <c r="B32" s="96" t="s">
        <v>230</v>
      </c>
      <c r="C32" s="98">
        <f>SUM(C26:C31)</f>
        <v>41555.559126765962</v>
      </c>
      <c r="D32" s="98">
        <f t="shared" ref="D32:E32" si="4">SUM(D26:D31)</f>
        <v>237495.04445727085</v>
      </c>
      <c r="E32" s="98">
        <f t="shared" si="4"/>
        <v>466616.00000000006</v>
      </c>
      <c r="F32" s="98">
        <f>SUM(F26:F31)</f>
        <v>745666.60358403693</v>
      </c>
    </row>
    <row r="33" spans="2:6" x14ac:dyDescent="0.25">
      <c r="B33" s="99"/>
      <c r="C33" s="100"/>
      <c r="D33" s="101"/>
      <c r="E33" s="101"/>
      <c r="F33" s="101"/>
    </row>
    <row r="34" spans="2:6" ht="21" x14ac:dyDescent="0.35">
      <c r="B34" s="248" t="s">
        <v>227</v>
      </c>
      <c r="C34" s="102"/>
      <c r="D34" s="88"/>
      <c r="E34" s="88"/>
      <c r="F34" s="88"/>
    </row>
    <row r="35" spans="2:6" x14ac:dyDescent="0.25">
      <c r="B35" s="93" t="s">
        <v>229</v>
      </c>
      <c r="C35" s="11" t="s">
        <v>36</v>
      </c>
      <c r="D35" s="11" t="s">
        <v>35</v>
      </c>
      <c r="E35" s="11" t="s">
        <v>228</v>
      </c>
      <c r="F35" s="11" t="s">
        <v>199</v>
      </c>
    </row>
    <row r="36" spans="2:6" x14ac:dyDescent="0.25">
      <c r="B36" s="14" t="s">
        <v>207</v>
      </c>
      <c r="C36" s="98">
        <f>C13</f>
        <v>86000</v>
      </c>
      <c r="D36" s="98">
        <f>'WaTER I_O - Case 2 NF'!D92</f>
        <v>347395.61470095481</v>
      </c>
      <c r="E36" s="95">
        <v>0</v>
      </c>
      <c r="F36" s="95">
        <f>SUM(C36:E36)</f>
        <v>433395.61470095481</v>
      </c>
    </row>
    <row r="37" spans="2:6" x14ac:dyDescent="0.25">
      <c r="B37" s="96" t="s">
        <v>220</v>
      </c>
      <c r="C37" s="95">
        <f>C32</f>
        <v>41555.559126765962</v>
      </c>
      <c r="D37" s="95">
        <f>D32</f>
        <v>237495.04445727085</v>
      </c>
      <c r="E37" s="95">
        <f>E32</f>
        <v>466616.00000000006</v>
      </c>
      <c r="F37" s="95">
        <f>SUM(C37:E37)</f>
        <v>745666.60358403693</v>
      </c>
    </row>
    <row r="38" spans="2:6" x14ac:dyDescent="0.25">
      <c r="B38" s="96" t="s">
        <v>232</v>
      </c>
      <c r="C38" s="95">
        <f>SUM(C36:C37)</f>
        <v>127555.55912676596</v>
      </c>
      <c r="D38" s="95">
        <f t="shared" ref="D38:E38" si="5">SUM(D36:D37)</f>
        <v>584890.65915822564</v>
      </c>
      <c r="E38" s="95">
        <f t="shared" si="5"/>
        <v>466616.00000000006</v>
      </c>
      <c r="F38" s="95">
        <f>SUM(C38:E38)</f>
        <v>1179062.2182849916</v>
      </c>
    </row>
    <row r="39" spans="2:6" x14ac:dyDescent="0.25">
      <c r="B39" s="96" t="s">
        <v>231</v>
      </c>
      <c r="C39" s="97">
        <f>C38/$H$6</f>
        <v>6.1506242209070708E-2</v>
      </c>
      <c r="D39" s="97">
        <f>D38/$H$6</f>
        <v>0.28202946852561017</v>
      </c>
      <c r="E39" s="97">
        <f>E38/$H$6</f>
        <v>0.22499840000000002</v>
      </c>
      <c r="F39" s="97">
        <f>F38/$H$6</f>
        <v>0.56853411073468085</v>
      </c>
    </row>
  </sheetData>
  <mergeCells count="6">
    <mergeCell ref="B1:E1"/>
    <mergeCell ref="H4:I4"/>
    <mergeCell ref="D8:I8"/>
    <mergeCell ref="B4:B5"/>
    <mergeCell ref="C4:C5"/>
    <mergeCell ref="F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2158-2C2A-417E-9A27-10600D003FB8}">
  <dimension ref="A1:I42"/>
  <sheetViews>
    <sheetView zoomScale="85" zoomScaleNormal="85" workbookViewId="0">
      <selection activeCell="B37" sqref="B37"/>
    </sheetView>
  </sheetViews>
  <sheetFormatPr defaultRowHeight="15" x14ac:dyDescent="0.25"/>
  <cols>
    <col min="2" max="2" width="42.140625" bestFit="1" customWidth="1"/>
    <col min="3" max="3" width="11.85546875" bestFit="1" customWidth="1"/>
    <col min="4" max="5" width="10.85546875" bestFit="1" customWidth="1"/>
    <col min="6" max="6" width="11.42578125" bestFit="1" customWidth="1"/>
    <col min="7" max="7" width="10.85546875" bestFit="1" customWidth="1"/>
    <col min="8" max="9" width="11.140625" customWidth="1"/>
  </cols>
  <sheetData>
    <row r="1" spans="1:9" ht="45" x14ac:dyDescent="0.25">
      <c r="A1" s="252" t="s">
        <v>496</v>
      </c>
      <c r="B1" s="277" t="s">
        <v>543</v>
      </c>
      <c r="C1" s="277"/>
      <c r="D1" s="277"/>
      <c r="E1" s="277"/>
    </row>
    <row r="3" spans="1:9" ht="21" x14ac:dyDescent="0.35">
      <c r="B3" s="248" t="s">
        <v>498</v>
      </c>
    </row>
    <row r="4" spans="1:9" x14ac:dyDescent="0.25">
      <c r="B4" s="283" t="str">
        <f>'Flows and Recovery'!B12</f>
        <v>Process</v>
      </c>
      <c r="C4" s="283" t="str">
        <f>'Flows and Recovery'!C12</f>
        <v>Recovery</v>
      </c>
      <c r="D4" s="283" t="str">
        <f>'Flows and Recovery'!D11</f>
        <v>Average Flow (MGD)</v>
      </c>
      <c r="E4" s="283"/>
      <c r="F4" s="283" t="str">
        <f>'Flows and Recovery'!F11</f>
        <v>Maximum Flow (MGD)</v>
      </c>
      <c r="G4" s="283"/>
      <c r="H4" s="280" t="s">
        <v>544</v>
      </c>
      <c r="I4" s="280"/>
    </row>
    <row r="5" spans="1:9" x14ac:dyDescent="0.25">
      <c r="B5" s="283"/>
      <c r="C5" s="283"/>
      <c r="D5" s="11" t="str">
        <f>'Flows and Recovery'!D12</f>
        <v>In</v>
      </c>
      <c r="E5" s="11" t="str">
        <f>'Flows and Recovery'!E12</f>
        <v>Out</v>
      </c>
      <c r="F5" s="11" t="str">
        <f>'Flows and Recovery'!F12</f>
        <v>In</v>
      </c>
      <c r="G5" s="11" t="str">
        <f>'Flows and Recovery'!G12</f>
        <v>Out</v>
      </c>
      <c r="H5" s="11" t="s">
        <v>545</v>
      </c>
      <c r="I5" s="11" t="s">
        <v>546</v>
      </c>
    </row>
    <row r="6" spans="1:9" x14ac:dyDescent="0.25">
      <c r="B6" s="11" t="s">
        <v>35</v>
      </c>
      <c r="C6" s="17">
        <v>0.89</v>
      </c>
      <c r="D6" s="23">
        <f>'Flows and Recovery'!D23</f>
        <v>1.6853932584269662</v>
      </c>
      <c r="E6" s="23">
        <f>'Flows and Recovery'!E23</f>
        <v>1.5</v>
      </c>
      <c r="F6" s="23">
        <f>'Flows and Recovery'!F23</f>
        <v>2.584269662921348</v>
      </c>
      <c r="G6" s="23">
        <f>'Flows and Recovery'!G23</f>
        <v>2.2999999999999998</v>
      </c>
      <c r="H6" s="24">
        <f>E6*1000*1000/264*365</f>
        <v>2073863.6363636365</v>
      </c>
      <c r="I6" s="24">
        <f>G6*1000*1000/264*365</f>
        <v>3179924.2424242422</v>
      </c>
    </row>
    <row r="7" spans="1:9" x14ac:dyDescent="0.25">
      <c r="B7" s="11" t="s">
        <v>36</v>
      </c>
      <c r="C7" s="17">
        <v>0.95</v>
      </c>
      <c r="D7" s="23">
        <f>'Flows and Recovery'!D24</f>
        <v>1.7740981667652276</v>
      </c>
      <c r="E7" s="23">
        <f>'Flows and Recovery'!E24</f>
        <v>1.6853932584269662</v>
      </c>
      <c r="F7" s="23">
        <f>'Flows and Recovery'!F24</f>
        <v>2.7202838557066822</v>
      </c>
      <c r="G7" s="23">
        <f>'Flows and Recovery'!G24</f>
        <v>2.584269662921348</v>
      </c>
      <c r="H7" s="24">
        <f>E7*1000*1000/264*365</f>
        <v>2330183.8610827373</v>
      </c>
      <c r="I7" s="24">
        <f>G7*1000*1000/264*365</f>
        <v>3572948.5869935299</v>
      </c>
    </row>
    <row r="8" spans="1:9" x14ac:dyDescent="0.25">
      <c r="B8" s="11" t="s">
        <v>37</v>
      </c>
      <c r="C8" s="17">
        <v>1</v>
      </c>
      <c r="D8" s="23">
        <f>'Flows and Recovery'!D25</f>
        <v>1.7740981667652276</v>
      </c>
      <c r="E8" s="23">
        <f>'Flows and Recovery'!E25</f>
        <v>1.7740981667652276</v>
      </c>
      <c r="F8" s="23">
        <f>'Flows and Recovery'!F25</f>
        <v>2.7202838557066822</v>
      </c>
      <c r="G8" s="23">
        <f>'Flows and Recovery'!G25</f>
        <v>2.7202838557066822</v>
      </c>
      <c r="H8" s="24">
        <f>E8*1000*1000/264*365</f>
        <v>2452825.1169291972</v>
      </c>
      <c r="I8" s="24">
        <f>G8*1000*1000/264*365</f>
        <v>3760998.5126247685</v>
      </c>
    </row>
    <row r="9" spans="1:9" x14ac:dyDescent="0.25">
      <c r="B9" s="11" t="s">
        <v>235</v>
      </c>
      <c r="C9" s="17">
        <f>C8*C7*C6</f>
        <v>0.84549999999999992</v>
      </c>
      <c r="D9" s="286"/>
      <c r="E9" s="287"/>
      <c r="F9" s="287"/>
      <c r="G9" s="287"/>
      <c r="H9" s="287"/>
      <c r="I9" s="288"/>
    </row>
    <row r="11" spans="1:9" ht="21" x14ac:dyDescent="0.35">
      <c r="B11" s="248" t="s">
        <v>519</v>
      </c>
    </row>
    <row r="12" spans="1:9" x14ac:dyDescent="0.25">
      <c r="B12" s="103" t="s">
        <v>196</v>
      </c>
      <c r="C12" s="11" t="s">
        <v>37</v>
      </c>
      <c r="D12" s="11" t="s">
        <v>36</v>
      </c>
      <c r="E12" s="11" t="s">
        <v>35</v>
      </c>
      <c r="F12" s="26" t="s">
        <v>199</v>
      </c>
    </row>
    <row r="13" spans="1:9" x14ac:dyDescent="0.25">
      <c r="B13" s="89" t="s">
        <v>195</v>
      </c>
      <c r="C13" s="90">
        <f>'WaTER I_O - Case 3 EC'!D57</f>
        <v>3557228.2669755262</v>
      </c>
      <c r="D13" s="91">
        <f>'WaTER I_O - Case 3 MF'!D81</f>
        <v>1121970.8887290838</v>
      </c>
      <c r="E13" s="91">
        <f>'WaTER I_O - Case 3 NF'!D86</f>
        <v>4686146.7740363833</v>
      </c>
      <c r="F13" s="91">
        <f>SUM(C13:E13)</f>
        <v>9365345.9297409933</v>
      </c>
    </row>
    <row r="14" spans="1:9" x14ac:dyDescent="0.25">
      <c r="B14" s="11" t="s">
        <v>214</v>
      </c>
      <c r="C14" s="92">
        <f>'WaTER I_O - Case 3 EC'!$D$63</f>
        <v>258000</v>
      </c>
      <c r="D14" s="92">
        <f>'WaTER I_O - Case 3 MF'!D87</f>
        <v>82000</v>
      </c>
      <c r="E14" s="91">
        <f>'WaTER I_O - Case 3 NF'!D92</f>
        <v>340443.46221633942</v>
      </c>
      <c r="F14" s="91">
        <f>SUM(C14:E14)</f>
        <v>680443.46221633942</v>
      </c>
    </row>
    <row r="16" spans="1:9" ht="21" x14ac:dyDescent="0.35">
      <c r="B16" s="248" t="s">
        <v>541</v>
      </c>
      <c r="C16" s="104"/>
      <c r="D16" s="104"/>
    </row>
    <row r="17" spans="2:7" x14ac:dyDescent="0.25">
      <c r="B17" s="93" t="s">
        <v>221</v>
      </c>
      <c r="C17" s="11" t="s">
        <v>37</v>
      </c>
      <c r="D17" s="11" t="s">
        <v>36</v>
      </c>
      <c r="E17" s="11" t="s">
        <v>35</v>
      </c>
      <c r="F17" s="11" t="s">
        <v>199</v>
      </c>
    </row>
    <row r="18" spans="2:7" x14ac:dyDescent="0.25">
      <c r="B18" s="14" t="s">
        <v>322</v>
      </c>
      <c r="C18" s="97">
        <f>'WaTER I_O - Case 3 EC'!D30</f>
        <v>24034.079581875001</v>
      </c>
      <c r="D18" s="95">
        <f>'WaTER I_O - Case 3 MF'!D62</f>
        <v>11555.559126765964</v>
      </c>
      <c r="E18" s="98">
        <f>'WaTER I_O - Case 3 NF'!D68</f>
        <v>48650.718461274962</v>
      </c>
      <c r="F18" s="95">
        <f t="shared" ref="F18:F24" si="0">SUM(C18:E18)</f>
        <v>84240.357169915922</v>
      </c>
    </row>
    <row r="19" spans="2:7" x14ac:dyDescent="0.25">
      <c r="B19" s="11" t="s">
        <v>215</v>
      </c>
      <c r="C19" s="11"/>
      <c r="D19" s="98">
        <f>'WaTER I_O - Case 3 MF'!D65</f>
        <v>4000</v>
      </c>
      <c r="E19" s="95">
        <f>'WaTER I_O - Case 3 NF'!D70</f>
        <v>79998.029767617918</v>
      </c>
      <c r="F19" s="95">
        <f t="shared" si="0"/>
        <v>83998.029767617918</v>
      </c>
    </row>
    <row r="20" spans="2:7" x14ac:dyDescent="0.25">
      <c r="B20" s="11" t="s">
        <v>476</v>
      </c>
      <c r="C20" s="153">
        <f>'WaTER I_O - Case 3 EC'!D34</f>
        <v>159721.85008042067</v>
      </c>
      <c r="D20" s="98"/>
      <c r="E20" s="95"/>
      <c r="F20" s="95">
        <f t="shared" si="0"/>
        <v>159721.85008042067</v>
      </c>
    </row>
    <row r="21" spans="2:7" x14ac:dyDescent="0.25">
      <c r="B21" s="14" t="s">
        <v>323</v>
      </c>
      <c r="C21" s="14"/>
      <c r="D21" s="98">
        <f>SUM('WaTER I_O - Case 3 MF'!D64, 'WaTER I_O - Case 3 MF'!D66)</f>
        <v>4000</v>
      </c>
      <c r="E21" s="95">
        <f>'WaTER I_O - Case 3 NF'!D71</f>
        <v>4172.2575282489197</v>
      </c>
      <c r="F21" s="95">
        <f t="shared" si="0"/>
        <v>8172.2575282489197</v>
      </c>
    </row>
    <row r="22" spans="2:7" x14ac:dyDescent="0.25">
      <c r="B22" s="14" t="s">
        <v>313</v>
      </c>
      <c r="C22" s="14"/>
      <c r="D22" s="95"/>
      <c r="E22" s="95"/>
      <c r="F22" s="95">
        <f t="shared" si="0"/>
        <v>0</v>
      </c>
    </row>
    <row r="23" spans="2:7" x14ac:dyDescent="0.25">
      <c r="B23" s="14" t="s">
        <v>324</v>
      </c>
      <c r="C23" s="14"/>
      <c r="D23" s="98">
        <f>'WaTER I_O - Case 3 MF'!D67</f>
        <v>16000</v>
      </c>
      <c r="E23" s="95">
        <f>'WaTER I_O - Case 3 NF'!D73</f>
        <v>44401.534278398096</v>
      </c>
      <c r="F23" s="95">
        <f t="shared" si="0"/>
        <v>60401.534278398096</v>
      </c>
    </row>
    <row r="24" spans="2:7" x14ac:dyDescent="0.25">
      <c r="B24" s="14" t="s">
        <v>325</v>
      </c>
      <c r="C24" s="14"/>
      <c r="D24" s="98">
        <v>0</v>
      </c>
      <c r="E24" s="95">
        <f>'WaTER I_O - Case 3 NF'!D74</f>
        <v>17760.613711359238</v>
      </c>
      <c r="F24" s="95">
        <f t="shared" si="0"/>
        <v>17760.613711359238</v>
      </c>
    </row>
    <row r="26" spans="2:7" ht="21" x14ac:dyDescent="0.35">
      <c r="B26" s="248" t="s">
        <v>542</v>
      </c>
    </row>
    <row r="27" spans="2:7" x14ac:dyDescent="0.25">
      <c r="B27" s="93" t="s">
        <v>221</v>
      </c>
      <c r="C27" s="11" t="s">
        <v>37</v>
      </c>
      <c r="D27" s="94" t="str">
        <f t="shared" ref="D27:E29" si="1">D17</f>
        <v>MF</v>
      </c>
      <c r="E27" s="11" t="str">
        <f t="shared" si="1"/>
        <v>NF</v>
      </c>
      <c r="F27" s="11" t="s">
        <v>228</v>
      </c>
      <c r="G27" s="11" t="str">
        <f>F17</f>
        <v>Total</v>
      </c>
    </row>
    <row r="28" spans="2:7" x14ac:dyDescent="0.25">
      <c r="B28" s="14" t="s">
        <v>322</v>
      </c>
      <c r="C28" s="97">
        <f>C18</f>
        <v>24034.079581875001</v>
      </c>
      <c r="D28" s="98">
        <f t="shared" si="1"/>
        <v>11555.559126765964</v>
      </c>
      <c r="E28" s="98">
        <f t="shared" si="1"/>
        <v>48650.718461274962</v>
      </c>
      <c r="F28" s="98"/>
      <c r="G28" s="95">
        <f>SUM(C28:F28)</f>
        <v>84240.357169915922</v>
      </c>
    </row>
    <row r="29" spans="2:7" x14ac:dyDescent="0.25">
      <c r="B29" s="14" t="s">
        <v>215</v>
      </c>
      <c r="C29" s="14"/>
      <c r="D29" s="98">
        <f t="shared" si="1"/>
        <v>4000</v>
      </c>
      <c r="E29" s="98">
        <f t="shared" si="1"/>
        <v>79998.029767617918</v>
      </c>
      <c r="F29" s="98"/>
      <c r="G29" s="95">
        <f t="shared" ref="G29:G34" si="2">SUM(C29:F29)</f>
        <v>83998.029767617918</v>
      </c>
    </row>
    <row r="30" spans="2:7" x14ac:dyDescent="0.25">
      <c r="B30" s="11" t="s">
        <v>476</v>
      </c>
      <c r="C30" s="97">
        <f>C20</f>
        <v>159721.85008042067</v>
      </c>
      <c r="D30" s="98"/>
      <c r="E30" s="98"/>
      <c r="F30" s="98"/>
      <c r="G30" s="95">
        <f t="shared" si="2"/>
        <v>159721.85008042067</v>
      </c>
    </row>
    <row r="31" spans="2:7" x14ac:dyDescent="0.25">
      <c r="B31" s="14" t="s">
        <v>323</v>
      </c>
      <c r="C31" s="14"/>
      <c r="D31" s="98">
        <f>D21</f>
        <v>4000</v>
      </c>
      <c r="E31" s="98">
        <f>E21</f>
        <v>4172.2575282489197</v>
      </c>
      <c r="F31" s="98"/>
      <c r="G31" s="95">
        <f t="shared" si="2"/>
        <v>8172.2575282489197</v>
      </c>
    </row>
    <row r="32" spans="2:7" x14ac:dyDescent="0.25">
      <c r="B32" s="14" t="s">
        <v>324</v>
      </c>
      <c r="C32" s="14"/>
      <c r="D32" s="98">
        <f>D23</f>
        <v>16000</v>
      </c>
      <c r="E32" s="98">
        <f>E23</f>
        <v>44401.534278398096</v>
      </c>
      <c r="F32" s="88"/>
      <c r="G32" s="95">
        <f t="shared" si="2"/>
        <v>60401.534278398096</v>
      </c>
    </row>
    <row r="33" spans="2:8" x14ac:dyDescent="0.25">
      <c r="B33" s="11" t="s">
        <v>325</v>
      </c>
      <c r="C33" s="11"/>
      <c r="D33" s="98">
        <f>D24</f>
        <v>0</v>
      </c>
      <c r="E33" s="98">
        <f>E24</f>
        <v>17760.613711359238</v>
      </c>
      <c r="F33" s="95"/>
      <c r="G33" s="95">
        <f t="shared" si="2"/>
        <v>17760.613711359238</v>
      </c>
    </row>
    <row r="34" spans="2:8" x14ac:dyDescent="0.25">
      <c r="B34" s="11" t="s">
        <v>161</v>
      </c>
      <c r="C34" s="11"/>
      <c r="D34" s="98">
        <v>0</v>
      </c>
      <c r="E34" s="98">
        <v>0</v>
      </c>
      <c r="F34" s="88">
        <v>583270</v>
      </c>
      <c r="G34" s="95">
        <f t="shared" si="2"/>
        <v>583270</v>
      </c>
      <c r="H34" t="s">
        <v>346</v>
      </c>
    </row>
    <row r="35" spans="2:8" x14ac:dyDescent="0.25">
      <c r="B35" s="96" t="s">
        <v>230</v>
      </c>
      <c r="C35" s="98">
        <f>SUM(C28:C34)</f>
        <v>183755.92966229568</v>
      </c>
      <c r="D35" s="98">
        <f>SUM(D28:D34)</f>
        <v>35555.559126765962</v>
      </c>
      <c r="E35" s="98">
        <f t="shared" ref="E35:F35" si="3">SUM(E28:E34)</f>
        <v>194983.15374689913</v>
      </c>
      <c r="F35" s="98">
        <f t="shared" si="3"/>
        <v>583270</v>
      </c>
      <c r="G35" s="95">
        <f>SUM(C35:F35)</f>
        <v>997564.64253596077</v>
      </c>
    </row>
    <row r="36" spans="2:8" x14ac:dyDescent="0.25">
      <c r="B36" s="99"/>
      <c r="C36" s="99"/>
      <c r="D36" s="100"/>
      <c r="E36" s="101"/>
      <c r="F36" s="101"/>
      <c r="G36" s="101"/>
    </row>
    <row r="37" spans="2:8" ht="21" x14ac:dyDescent="0.35">
      <c r="B37" s="248" t="s">
        <v>227</v>
      </c>
      <c r="D37" s="102"/>
      <c r="E37" s="88"/>
      <c r="F37" s="88"/>
      <c r="G37" s="88"/>
    </row>
    <row r="38" spans="2:8" x14ac:dyDescent="0.25">
      <c r="B38" s="93" t="s">
        <v>229</v>
      </c>
      <c r="C38" s="11" t="s">
        <v>37</v>
      </c>
      <c r="D38" s="11" t="s">
        <v>36</v>
      </c>
      <c r="E38" s="11" t="s">
        <v>35</v>
      </c>
      <c r="F38" s="11" t="s">
        <v>228</v>
      </c>
      <c r="G38" s="11" t="s">
        <v>199</v>
      </c>
    </row>
    <row r="39" spans="2:8" x14ac:dyDescent="0.25">
      <c r="B39" s="14" t="s">
        <v>207</v>
      </c>
      <c r="C39" s="98">
        <f>'WaTER I_O - Case 3 EC'!D63</f>
        <v>258000</v>
      </c>
      <c r="D39" s="98">
        <f>D14</f>
        <v>82000</v>
      </c>
      <c r="E39" s="98">
        <f>'WaTER I_O - Case 3 NF'!D92</f>
        <v>340443.46221633942</v>
      </c>
      <c r="F39" s="95">
        <v>0</v>
      </c>
      <c r="G39" s="95">
        <f>SUM(C39:F39)</f>
        <v>680443.46221633942</v>
      </c>
    </row>
    <row r="40" spans="2:8" x14ac:dyDescent="0.25">
      <c r="B40" s="96" t="s">
        <v>220</v>
      </c>
      <c r="C40" s="95">
        <f>'WaTER I_O - Case 3 EC'!D64</f>
        <v>183755.92966229568</v>
      </c>
      <c r="D40" s="95">
        <f>D35</f>
        <v>35555.559126765962</v>
      </c>
      <c r="E40" s="95">
        <f>'WaTER I_O - Case 3 NF'!D93</f>
        <v>194983.15374689913</v>
      </c>
      <c r="F40" s="95">
        <f>F34</f>
        <v>583270</v>
      </c>
      <c r="G40" s="95">
        <f t="shared" ref="G40:G42" si="4">SUM(C40:F40)</f>
        <v>997564.64253596077</v>
      </c>
    </row>
    <row r="41" spans="2:8" x14ac:dyDescent="0.25">
      <c r="B41" s="96" t="s">
        <v>232</v>
      </c>
      <c r="C41" s="95">
        <f>'WaTER I_O - Case 3 EC'!D66</f>
        <v>441755.92966229568</v>
      </c>
      <c r="D41" s="95">
        <f>SUM(D39:D40)</f>
        <v>117555.55912676596</v>
      </c>
      <c r="E41" s="95">
        <f t="shared" ref="E41:F41" si="5">SUM(E39:E40)</f>
        <v>535426.61596323852</v>
      </c>
      <c r="F41" s="95">
        <f t="shared" si="5"/>
        <v>583270</v>
      </c>
      <c r="G41" s="95">
        <f t="shared" si="4"/>
        <v>1678008.1047523003</v>
      </c>
    </row>
    <row r="42" spans="2:8" x14ac:dyDescent="0.25">
      <c r="B42" s="96" t="s">
        <v>231</v>
      </c>
      <c r="C42" s="200">
        <f>C41/$H$6</f>
        <v>0.21301107841250422</v>
      </c>
      <c r="D42" s="200">
        <f>D41/$H$6</f>
        <v>5.6684324400851527E-2</v>
      </c>
      <c r="E42" s="200">
        <f>E41/$H$6</f>
        <v>0.25817831345076708</v>
      </c>
      <c r="F42" s="200">
        <f>F41/$H$6</f>
        <v>0.281248</v>
      </c>
      <c r="G42" s="153">
        <f t="shared" si="4"/>
        <v>0.80912171626412288</v>
      </c>
    </row>
  </sheetData>
  <mergeCells count="7">
    <mergeCell ref="B1:E1"/>
    <mergeCell ref="H4:I4"/>
    <mergeCell ref="D9:I9"/>
    <mergeCell ref="B4:B5"/>
    <mergeCell ref="C4:C5"/>
    <mergeCell ref="D4:E4"/>
    <mergeCell ref="F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282A-EFB7-4B49-A61D-3D59EA9CE3DE}">
  <dimension ref="A1:F50"/>
  <sheetViews>
    <sheetView zoomScale="70" zoomScaleNormal="70" workbookViewId="0">
      <selection sqref="A1:E1"/>
    </sheetView>
  </sheetViews>
  <sheetFormatPr defaultRowHeight="15" x14ac:dyDescent="0.25"/>
  <cols>
    <col min="3" max="3" width="35.140625" bestFit="1" customWidth="1"/>
    <col min="4" max="4" width="9.85546875" bestFit="1" customWidth="1"/>
    <col min="5" max="5" width="11" bestFit="1" customWidth="1"/>
    <col min="6" max="6" width="54.85546875" bestFit="1" customWidth="1"/>
  </cols>
  <sheetData>
    <row r="1" spans="1:6" ht="45" x14ac:dyDescent="0.25">
      <c r="A1" s="252" t="s">
        <v>496</v>
      </c>
      <c r="B1" s="277" t="s">
        <v>536</v>
      </c>
      <c r="C1" s="277"/>
      <c r="D1" s="277"/>
      <c r="E1" s="277"/>
    </row>
    <row r="3" spans="1:6" ht="23.25" x14ac:dyDescent="0.35">
      <c r="B3" s="249" t="s">
        <v>537</v>
      </c>
    </row>
    <row r="4" spans="1:6" ht="23.25" x14ac:dyDescent="0.35">
      <c r="B4" s="249"/>
    </row>
    <row r="5" spans="1:6" ht="21" x14ac:dyDescent="0.35">
      <c r="B5" s="248" t="s">
        <v>498</v>
      </c>
      <c r="D5" t="s">
        <v>505</v>
      </c>
    </row>
    <row r="6" spans="1:6" x14ac:dyDescent="0.25">
      <c r="C6" s="286" t="s">
        <v>127</v>
      </c>
      <c r="D6" s="287"/>
      <c r="E6" s="288"/>
    </row>
    <row r="7" spans="1:6" x14ac:dyDescent="0.25">
      <c r="C7" s="26"/>
      <c r="D7" s="26" t="s">
        <v>38</v>
      </c>
      <c r="E7" s="26" t="s">
        <v>126</v>
      </c>
    </row>
    <row r="8" spans="1:6" x14ac:dyDescent="0.25">
      <c r="C8" s="11" t="s">
        <v>124</v>
      </c>
      <c r="D8" s="23">
        <f>'Flows and Recovery'!D15</f>
        <v>2.2058823529411762</v>
      </c>
      <c r="E8" s="23">
        <f>'Flows and Recovery'!E15</f>
        <v>2.2058823529411762</v>
      </c>
    </row>
    <row r="9" spans="1:6" x14ac:dyDescent="0.25">
      <c r="C9" s="11" t="s">
        <v>125</v>
      </c>
      <c r="D9" s="23">
        <f>'Flows and Recovery'!F15</f>
        <v>3.3823529411764701</v>
      </c>
      <c r="E9" s="23">
        <f>'Flows and Recovery'!G15</f>
        <v>3.3823529411764701</v>
      </c>
    </row>
    <row r="11" spans="1:6" ht="18.75" x14ac:dyDescent="0.3">
      <c r="B11" s="247" t="s">
        <v>524</v>
      </c>
    </row>
    <row r="12" spans="1:6" x14ac:dyDescent="0.25">
      <c r="C12" s="27" t="s">
        <v>128</v>
      </c>
      <c r="D12" s="28" t="s">
        <v>129</v>
      </c>
      <c r="E12" s="28">
        <f>AVERAGE(40, 100)</f>
        <v>70</v>
      </c>
      <c r="F12" s="29" t="s">
        <v>130</v>
      </c>
    </row>
    <row r="13" spans="1:6" x14ac:dyDescent="0.25">
      <c r="C13" s="27" t="s">
        <v>131</v>
      </c>
      <c r="D13" s="28" t="s">
        <v>59</v>
      </c>
      <c r="E13" s="30">
        <v>0.5</v>
      </c>
      <c r="F13" s="29"/>
    </row>
    <row r="14" spans="1:6" x14ac:dyDescent="0.25">
      <c r="C14" s="27" t="s">
        <v>132</v>
      </c>
      <c r="D14" s="28" t="s">
        <v>133</v>
      </c>
      <c r="E14" s="28">
        <v>11.1</v>
      </c>
      <c r="F14" s="29" t="s">
        <v>134</v>
      </c>
    </row>
    <row r="15" spans="1:6" x14ac:dyDescent="0.25">
      <c r="C15" s="27" t="s">
        <v>135</v>
      </c>
      <c r="D15" s="28" t="s">
        <v>136</v>
      </c>
      <c r="E15" s="28">
        <v>0.14000000000000001</v>
      </c>
      <c r="F15" s="29"/>
    </row>
    <row r="17" spans="2:6" ht="21" x14ac:dyDescent="0.35">
      <c r="B17" s="248" t="s">
        <v>538</v>
      </c>
      <c r="E17" t="s">
        <v>539</v>
      </c>
    </row>
    <row r="18" spans="2:6" x14ac:dyDescent="0.25">
      <c r="C18" s="246" t="s">
        <v>420</v>
      </c>
    </row>
    <row r="19" spans="2:6" x14ac:dyDescent="0.25">
      <c r="C19" s="11" t="s">
        <v>138</v>
      </c>
      <c r="D19" s="11" t="s">
        <v>139</v>
      </c>
      <c r="E19" s="11"/>
      <c r="F19" s="11"/>
    </row>
    <row r="20" spans="2:6" x14ac:dyDescent="0.25">
      <c r="C20" s="11" t="s">
        <v>140</v>
      </c>
      <c r="D20" s="11">
        <f>E15*100</f>
        <v>14.000000000000002</v>
      </c>
      <c r="E20" s="11" t="s">
        <v>141</v>
      </c>
      <c r="F20" s="11"/>
    </row>
    <row r="21" spans="2:6" x14ac:dyDescent="0.25">
      <c r="C21" s="11" t="s">
        <v>145</v>
      </c>
      <c r="D21" s="11">
        <f>E12</f>
        <v>70</v>
      </c>
      <c r="E21" s="11" t="s">
        <v>142</v>
      </c>
      <c r="F21" s="11" t="s">
        <v>146</v>
      </c>
    </row>
    <row r="22" spans="2:6" x14ac:dyDescent="0.25">
      <c r="C22" s="11" t="s">
        <v>143</v>
      </c>
      <c r="D22" s="11">
        <f>1/E13</f>
        <v>2</v>
      </c>
      <c r="E22" s="11"/>
      <c r="F22" s="11" t="s">
        <v>144</v>
      </c>
    </row>
    <row r="24" spans="2:6" ht="21" x14ac:dyDescent="0.35">
      <c r="B24" s="248" t="s">
        <v>538</v>
      </c>
      <c r="E24" t="s">
        <v>540</v>
      </c>
    </row>
    <row r="25" spans="2:6" ht="15.75" thickBot="1" x14ac:dyDescent="0.3">
      <c r="B25" s="246" t="s">
        <v>501</v>
      </c>
      <c r="C25" s="246"/>
    </row>
    <row r="26" spans="2:6" x14ac:dyDescent="0.25">
      <c r="C26" s="52" t="s">
        <v>158</v>
      </c>
      <c r="D26" s="53"/>
      <c r="E26" s="54">
        <v>2036.065904915894</v>
      </c>
      <c r="F26" s="34" t="s">
        <v>148</v>
      </c>
    </row>
    <row r="27" spans="2:6" ht="15.75" thickBot="1" x14ac:dyDescent="0.3">
      <c r="C27" s="55"/>
      <c r="D27" s="56" t="s">
        <v>59</v>
      </c>
      <c r="E27" s="37"/>
      <c r="F27" s="57"/>
    </row>
    <row r="28" spans="2:6" x14ac:dyDescent="0.25">
      <c r="C28" s="58" t="s">
        <v>159</v>
      </c>
      <c r="D28" s="59">
        <v>0.04</v>
      </c>
      <c r="E28" s="33">
        <v>378.42127120156488</v>
      </c>
      <c r="F28" s="292" t="s">
        <v>151</v>
      </c>
    </row>
    <row r="29" spans="2:6" x14ac:dyDescent="0.25">
      <c r="C29" s="42" t="s">
        <v>160</v>
      </c>
      <c r="D29" s="43">
        <v>0.59</v>
      </c>
      <c r="E29" s="44">
        <v>475.56201151900649</v>
      </c>
      <c r="F29" s="293"/>
    </row>
    <row r="30" spans="2:6" x14ac:dyDescent="0.25">
      <c r="C30" s="42" t="s">
        <v>161</v>
      </c>
      <c r="D30" s="43">
        <v>0.37</v>
      </c>
      <c r="E30" s="44">
        <v>680.49563148772461</v>
      </c>
      <c r="F30" s="293"/>
    </row>
    <row r="31" spans="2:6" x14ac:dyDescent="0.25">
      <c r="C31" s="46" t="s">
        <v>162</v>
      </c>
      <c r="D31" s="60"/>
      <c r="E31" s="48">
        <v>131441.93445121206</v>
      </c>
      <c r="F31" s="293"/>
    </row>
    <row r="32" spans="2:6" ht="15.75" thickBot="1" x14ac:dyDescent="0.3">
      <c r="C32" s="61" t="s">
        <v>163</v>
      </c>
      <c r="D32" s="50">
        <v>1</v>
      </c>
      <c r="E32" s="51">
        <v>132976.41336542036</v>
      </c>
      <c r="F32" s="294"/>
    </row>
    <row r="33" spans="2:6" ht="15.75" thickBot="1" x14ac:dyDescent="0.3">
      <c r="B33" s="246"/>
      <c r="C33" s="246"/>
    </row>
    <row r="34" spans="2:6" ht="39" thickBot="1" x14ac:dyDescent="0.3">
      <c r="B34" s="246"/>
      <c r="C34" s="62" t="s">
        <v>164</v>
      </c>
      <c r="D34" s="2" t="s">
        <v>165</v>
      </c>
    </row>
    <row r="35" spans="2:6" ht="26.25" thickBot="1" x14ac:dyDescent="0.3">
      <c r="B35" s="246"/>
      <c r="C35" s="3" t="s">
        <v>166</v>
      </c>
      <c r="D35" s="65">
        <f>E32/'Flows and Recovery'!E7</f>
        <v>6.4120133567983517E-2</v>
      </c>
    </row>
    <row r="36" spans="2:6" ht="26.25" thickBot="1" x14ac:dyDescent="0.3">
      <c r="B36" s="246"/>
      <c r="C36" s="3" t="s">
        <v>167</v>
      </c>
      <c r="D36" s="65">
        <f>(E32-E30)/'Flows and Recovery'!E7</f>
        <v>6.379200416759491E-2</v>
      </c>
    </row>
    <row r="37" spans="2:6" ht="15.75" thickBot="1" x14ac:dyDescent="0.3">
      <c r="B37" s="246" t="s">
        <v>502</v>
      </c>
      <c r="C37" s="6"/>
      <c r="D37" s="268"/>
    </row>
    <row r="38" spans="2:6" x14ac:dyDescent="0.25">
      <c r="C38" s="31" t="s">
        <v>147</v>
      </c>
      <c r="D38" s="32"/>
      <c r="E38" s="33">
        <v>46573.342377478024</v>
      </c>
      <c r="F38" s="34" t="s">
        <v>148</v>
      </c>
    </row>
    <row r="39" spans="2:6" ht="15.75" thickBot="1" x14ac:dyDescent="0.3">
      <c r="C39" s="35" t="s">
        <v>149</v>
      </c>
      <c r="D39" s="36" t="s">
        <v>59</v>
      </c>
      <c r="E39" s="37"/>
      <c r="F39" s="38"/>
    </row>
    <row r="40" spans="2:6" ht="15.75" thickTop="1" x14ac:dyDescent="0.25">
      <c r="C40" s="39" t="s">
        <v>150</v>
      </c>
      <c r="D40" s="40">
        <v>0.71</v>
      </c>
      <c r="E40" s="41">
        <v>152827.65392811366</v>
      </c>
      <c r="F40" s="289" t="s">
        <v>151</v>
      </c>
    </row>
    <row r="41" spans="2:6" x14ac:dyDescent="0.25">
      <c r="C41" s="42" t="s">
        <v>152</v>
      </c>
      <c r="D41" s="43">
        <v>0.15</v>
      </c>
      <c r="E41" s="44">
        <v>67581.970360268082</v>
      </c>
      <c r="F41" s="290"/>
    </row>
    <row r="42" spans="2:6" x14ac:dyDescent="0.25">
      <c r="C42" s="42" t="s">
        <v>153</v>
      </c>
      <c r="D42" s="43">
        <v>0.12</v>
      </c>
      <c r="E42" s="44">
        <v>37280.671379950763</v>
      </c>
      <c r="F42" s="290"/>
    </row>
    <row r="43" spans="2:6" x14ac:dyDescent="0.25">
      <c r="C43" s="42" t="s">
        <v>154</v>
      </c>
      <c r="D43" s="43">
        <v>0.02</v>
      </c>
      <c r="E43" s="44">
        <v>3464.4750498465651</v>
      </c>
      <c r="F43" s="290"/>
    </row>
    <row r="44" spans="2:6" x14ac:dyDescent="0.25">
      <c r="C44" s="42" t="s">
        <v>155</v>
      </c>
      <c r="D44" s="43">
        <v>0</v>
      </c>
      <c r="E44" s="44">
        <v>0</v>
      </c>
      <c r="F44" s="290"/>
    </row>
    <row r="45" spans="2:6" ht="15.75" thickBot="1" x14ac:dyDescent="0.3">
      <c r="C45" s="46" t="s">
        <v>156</v>
      </c>
      <c r="D45" s="47">
        <v>0</v>
      </c>
      <c r="E45" s="48">
        <v>0</v>
      </c>
      <c r="F45" s="290"/>
    </row>
    <row r="46" spans="2:6" ht="15.75" thickBot="1" x14ac:dyDescent="0.3">
      <c r="C46" s="49" t="s">
        <v>157</v>
      </c>
      <c r="D46" s="50">
        <v>1</v>
      </c>
      <c r="E46" s="51">
        <v>261154.77071817909</v>
      </c>
      <c r="F46" s="291"/>
    </row>
    <row r="47" spans="2:6" x14ac:dyDescent="0.25">
      <c r="C47" s="45"/>
      <c r="D47" s="45"/>
      <c r="E47" s="45"/>
      <c r="F47" s="45"/>
    </row>
    <row r="48" spans="2:6" x14ac:dyDescent="0.25">
      <c r="C48" s="11" t="s">
        <v>198</v>
      </c>
      <c r="D48" s="95">
        <f>(D49*(1+D49)^D50/((1+D49)^D50-1))*E46</f>
        <v>18972.60982310856</v>
      </c>
      <c r="E48" s="11"/>
    </row>
    <row r="49" spans="3:5" x14ac:dyDescent="0.25">
      <c r="C49" s="11" t="s">
        <v>212</v>
      </c>
      <c r="D49" s="17">
        <v>0.06</v>
      </c>
      <c r="E49" s="11"/>
    </row>
    <row r="50" spans="3:5" x14ac:dyDescent="0.25">
      <c r="C50" s="11" t="s">
        <v>213</v>
      </c>
      <c r="D50" s="11">
        <v>30</v>
      </c>
      <c r="E50" s="11" t="s">
        <v>66</v>
      </c>
    </row>
  </sheetData>
  <mergeCells count="4">
    <mergeCell ref="B1:E1"/>
    <mergeCell ref="C6:E6"/>
    <mergeCell ref="F40:F46"/>
    <mergeCell ref="F28:F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E6B6-B72F-4936-867C-41C5F2B7026C}">
  <dimension ref="A1:G58"/>
  <sheetViews>
    <sheetView zoomScale="55" zoomScaleNormal="55" workbookViewId="0">
      <selection activeCell="B31" sqref="B31"/>
    </sheetView>
  </sheetViews>
  <sheetFormatPr defaultRowHeight="15" x14ac:dyDescent="0.25"/>
  <cols>
    <col min="3" max="3" width="34.7109375" customWidth="1"/>
    <col min="4" max="4" width="21" bestFit="1" customWidth="1"/>
    <col min="5" max="5" width="21" customWidth="1"/>
    <col min="6" max="6" width="18.5703125" bestFit="1" customWidth="1"/>
    <col min="7" max="7" width="22" bestFit="1" customWidth="1"/>
    <col min="8" max="8" width="54.5703125" bestFit="1" customWidth="1"/>
  </cols>
  <sheetData>
    <row r="1" spans="1:6" ht="45" x14ac:dyDescent="0.25">
      <c r="A1" s="252" t="s">
        <v>496</v>
      </c>
      <c r="B1" s="277" t="s">
        <v>531</v>
      </c>
      <c r="C1" s="277"/>
      <c r="D1" s="277"/>
      <c r="E1" s="277"/>
    </row>
    <row r="3" spans="1:6" ht="23.25" x14ac:dyDescent="0.35">
      <c r="B3" s="249" t="s">
        <v>530</v>
      </c>
    </row>
    <row r="4" spans="1:6" ht="23.25" x14ac:dyDescent="0.35">
      <c r="B4" s="249"/>
    </row>
    <row r="5" spans="1:6" ht="21" x14ac:dyDescent="0.35">
      <c r="B5" s="248" t="s">
        <v>498</v>
      </c>
      <c r="D5" t="s">
        <v>505</v>
      </c>
    </row>
    <row r="6" spans="1:6" x14ac:dyDescent="0.25">
      <c r="C6" s="286" t="s">
        <v>127</v>
      </c>
      <c r="D6" s="287"/>
      <c r="E6" s="288"/>
    </row>
    <row r="7" spans="1:6" x14ac:dyDescent="0.25">
      <c r="C7" s="26"/>
      <c r="D7" s="26" t="s">
        <v>38</v>
      </c>
      <c r="E7" s="26" t="s">
        <v>126</v>
      </c>
    </row>
    <row r="8" spans="1:6" x14ac:dyDescent="0.25">
      <c r="C8" s="11" t="s">
        <v>124</v>
      </c>
      <c r="D8" s="23">
        <f>'Flows and Recovery'!D15</f>
        <v>2.2058823529411762</v>
      </c>
      <c r="E8" s="23">
        <f>'Flows and Recovery'!E15</f>
        <v>2.2058823529411762</v>
      </c>
    </row>
    <row r="9" spans="1:6" x14ac:dyDescent="0.25">
      <c r="C9" s="11" t="s">
        <v>125</v>
      </c>
      <c r="D9" s="23">
        <f>'Flows and Recovery'!F15</f>
        <v>3.3823529411764701</v>
      </c>
      <c r="E9" s="23">
        <f>'Flows and Recovery'!G15</f>
        <v>3.3823529411764701</v>
      </c>
    </row>
    <row r="11" spans="1:6" ht="18.75" x14ac:dyDescent="0.3">
      <c r="B11" s="247" t="s">
        <v>524</v>
      </c>
    </row>
    <row r="12" spans="1:6" x14ac:dyDescent="0.25">
      <c r="C12" s="283" t="s">
        <v>190</v>
      </c>
      <c r="D12" s="283"/>
      <c r="E12" s="283"/>
      <c r="F12" s="283"/>
    </row>
    <row r="13" spans="1:6" x14ac:dyDescent="0.25">
      <c r="C13" s="11" t="s">
        <v>170</v>
      </c>
      <c r="D13" s="11" t="s">
        <v>189</v>
      </c>
      <c r="E13" s="66" t="s">
        <v>39</v>
      </c>
      <c r="F13" s="29"/>
    </row>
    <row r="14" spans="1:6" x14ac:dyDescent="0.25">
      <c r="C14" s="11" t="s">
        <v>171</v>
      </c>
      <c r="D14" s="11">
        <v>684</v>
      </c>
      <c r="E14" s="11" t="s">
        <v>168</v>
      </c>
      <c r="F14" s="29"/>
    </row>
    <row r="15" spans="1:6" x14ac:dyDescent="0.25">
      <c r="C15" s="11" t="s">
        <v>172</v>
      </c>
      <c r="D15" s="11">
        <v>2</v>
      </c>
      <c r="E15" s="66" t="s">
        <v>39</v>
      </c>
      <c r="F15" s="29"/>
    </row>
    <row r="16" spans="1:6" x14ac:dyDescent="0.25">
      <c r="C16" s="11" t="s">
        <v>173</v>
      </c>
      <c r="D16" s="11">
        <v>50</v>
      </c>
      <c r="E16" s="11" t="s">
        <v>66</v>
      </c>
      <c r="F16" s="11" t="s">
        <v>174</v>
      </c>
    </row>
    <row r="17" spans="2:6" x14ac:dyDescent="0.25">
      <c r="C17" s="11" t="s">
        <v>175</v>
      </c>
      <c r="D17" s="11" t="s">
        <v>176</v>
      </c>
      <c r="E17" s="11"/>
      <c r="F17" s="29"/>
    </row>
    <row r="18" spans="2:6" x14ac:dyDescent="0.25">
      <c r="C18" s="11" t="s">
        <v>177</v>
      </c>
      <c r="D18" s="11" t="s">
        <v>178</v>
      </c>
      <c r="E18" s="11"/>
      <c r="F18" s="29"/>
    </row>
    <row r="19" spans="2:6" x14ac:dyDescent="0.25">
      <c r="C19" s="11" t="s">
        <v>179</v>
      </c>
      <c r="D19" s="11">
        <v>1</v>
      </c>
      <c r="E19" s="11" t="s">
        <v>180</v>
      </c>
      <c r="F19" s="29"/>
    </row>
    <row r="20" spans="2:6" x14ac:dyDescent="0.25">
      <c r="C20" s="11" t="s">
        <v>181</v>
      </c>
      <c r="D20" s="11">
        <v>20</v>
      </c>
      <c r="E20" s="11" t="s">
        <v>102</v>
      </c>
      <c r="F20" s="29" t="s">
        <v>182</v>
      </c>
    </row>
    <row r="22" spans="2:6" ht="21" x14ac:dyDescent="0.35">
      <c r="B22" s="248" t="s">
        <v>532</v>
      </c>
      <c r="E22" t="s">
        <v>529</v>
      </c>
    </row>
    <row r="23" spans="2:6" x14ac:dyDescent="0.25">
      <c r="C23" s="246" t="s">
        <v>420</v>
      </c>
    </row>
    <row r="24" spans="2:6" x14ac:dyDescent="0.25">
      <c r="C24" s="283" t="s">
        <v>137</v>
      </c>
      <c r="D24" s="283"/>
      <c r="E24" s="283"/>
      <c r="F24" s="283"/>
    </row>
    <row r="25" spans="2:6" x14ac:dyDescent="0.25">
      <c r="C25" s="14" t="s">
        <v>183</v>
      </c>
      <c r="D25" s="11">
        <f>D19*24*7</f>
        <v>168</v>
      </c>
      <c r="E25" s="11" t="s">
        <v>188</v>
      </c>
      <c r="F25" s="11"/>
    </row>
    <row r="26" spans="2:6" x14ac:dyDescent="0.25">
      <c r="C26" s="14" t="s">
        <v>184</v>
      </c>
      <c r="D26" s="11">
        <v>3.5</v>
      </c>
      <c r="E26" s="11" t="s">
        <v>169</v>
      </c>
      <c r="F26" s="11" t="s">
        <v>187</v>
      </c>
    </row>
    <row r="27" spans="2:6" x14ac:dyDescent="0.25">
      <c r="C27" s="14" t="s">
        <v>185</v>
      </c>
      <c r="D27" s="24">
        <f>D14*D15/10.76</f>
        <v>127.1375464684015</v>
      </c>
      <c r="E27" s="11" t="s">
        <v>47</v>
      </c>
      <c r="F27" s="11"/>
    </row>
    <row r="28" spans="2:6" x14ac:dyDescent="0.25">
      <c r="C28" s="14" t="s">
        <v>186</v>
      </c>
      <c r="D28" s="11">
        <v>20</v>
      </c>
      <c r="E28" s="11"/>
      <c r="F28" s="11"/>
    </row>
    <row r="30" spans="2:6" ht="21" x14ac:dyDescent="0.35">
      <c r="B30" s="248" t="s">
        <v>533</v>
      </c>
      <c r="D30" t="s">
        <v>534</v>
      </c>
    </row>
    <row r="31" spans="2:6" ht="15.75" thickBot="1" x14ac:dyDescent="0.3">
      <c r="B31" s="246" t="s">
        <v>501</v>
      </c>
    </row>
    <row r="32" spans="2:6" ht="15.75" thickBot="1" x14ac:dyDescent="0.3">
      <c r="C32" s="67" t="s">
        <v>192</v>
      </c>
      <c r="D32" s="68" t="s">
        <v>59</v>
      </c>
      <c r="E32" s="69">
        <v>30915.916713191447</v>
      </c>
    </row>
    <row r="33" spans="2:5" ht="15.75" thickTop="1" x14ac:dyDescent="0.25">
      <c r="C33" s="72" t="s">
        <v>159</v>
      </c>
      <c r="D33" s="43"/>
      <c r="E33" s="73">
        <v>0</v>
      </c>
    </row>
    <row r="34" spans="2:5" x14ac:dyDescent="0.25">
      <c r="C34" s="72" t="s">
        <v>160</v>
      </c>
      <c r="D34" s="43">
        <v>0.36</v>
      </c>
      <c r="E34" s="73">
        <v>23706.324935675202</v>
      </c>
    </row>
    <row r="35" spans="2:5" x14ac:dyDescent="0.25">
      <c r="C35" s="72" t="s">
        <v>161</v>
      </c>
      <c r="D35" s="43">
        <v>0.52</v>
      </c>
      <c r="E35" s="73">
        <v>62173.015856712409</v>
      </c>
    </row>
    <row r="36" spans="2:5" ht="15.75" thickBot="1" x14ac:dyDescent="0.3">
      <c r="C36" s="74" t="s">
        <v>193</v>
      </c>
      <c r="D36" s="77"/>
      <c r="E36" s="75">
        <v>313959.24000000005</v>
      </c>
    </row>
    <row r="37" spans="2:5" ht="15.75" thickBot="1" x14ac:dyDescent="0.3">
      <c r="C37" s="61" t="s">
        <v>163</v>
      </c>
      <c r="D37" s="50"/>
      <c r="E37" s="76">
        <v>399838.58079238766</v>
      </c>
    </row>
    <row r="38" spans="2:5" ht="15.75" thickBot="1" x14ac:dyDescent="0.3">
      <c r="C38" s="265"/>
      <c r="D38" s="266"/>
      <c r="E38" s="267"/>
    </row>
    <row r="39" spans="2:5" ht="15.75" thickBot="1" x14ac:dyDescent="0.3">
      <c r="C39" s="62" t="s">
        <v>164</v>
      </c>
      <c r="D39" s="63" t="s">
        <v>165</v>
      </c>
    </row>
    <row r="40" spans="2:5" ht="15.75" thickBot="1" x14ac:dyDescent="0.3">
      <c r="C40" s="64" t="s">
        <v>194</v>
      </c>
      <c r="D40" s="65">
        <f>E37/'Flows and Recovery'!E7</f>
        <v>0.19279887731358966</v>
      </c>
    </row>
    <row r="41" spans="2:5" ht="15.75" thickBot="1" x14ac:dyDescent="0.3">
      <c r="C41" s="64" t="s">
        <v>167</v>
      </c>
      <c r="D41" s="65">
        <f>(E37-E35)/'Flows and Recovery'!E7</f>
        <v>0.16281956007857215</v>
      </c>
    </row>
    <row r="42" spans="2:5" x14ac:dyDescent="0.25">
      <c r="C42" s="265"/>
      <c r="D42" s="266"/>
      <c r="E42" s="267"/>
    </row>
    <row r="43" spans="2:5" ht="15.75" thickBot="1" x14ac:dyDescent="0.3">
      <c r="B43" s="246" t="s">
        <v>502</v>
      </c>
    </row>
    <row r="44" spans="2:5" ht="15.75" thickBot="1" x14ac:dyDescent="0.3">
      <c r="C44" s="67" t="s">
        <v>191</v>
      </c>
      <c r="D44" s="68" t="s">
        <v>59</v>
      </c>
      <c r="E44" s="69">
        <v>634319.99404934468</v>
      </c>
    </row>
    <row r="45" spans="2:5" ht="15.75" thickTop="1" x14ac:dyDescent="0.25">
      <c r="C45" s="70" t="s">
        <v>150</v>
      </c>
      <c r="D45" s="40">
        <v>0.26</v>
      </c>
      <c r="E45" s="71">
        <v>762233.33800312353</v>
      </c>
    </row>
    <row r="46" spans="2:5" x14ac:dyDescent="0.25">
      <c r="C46" s="72" t="s">
        <v>152</v>
      </c>
      <c r="D46" s="43">
        <v>0.18</v>
      </c>
      <c r="E46" s="73">
        <v>336603.44003133802</v>
      </c>
    </row>
    <row r="47" spans="2:5" x14ac:dyDescent="0.25">
      <c r="C47" s="72" t="s">
        <v>153</v>
      </c>
      <c r="D47" s="43">
        <v>0.22</v>
      </c>
      <c r="E47" s="73">
        <v>641508.93682652886</v>
      </c>
    </row>
    <row r="48" spans="2:5" x14ac:dyDescent="0.25">
      <c r="C48" s="72" t="s">
        <v>154</v>
      </c>
      <c r="D48" s="43">
        <v>0.23</v>
      </c>
      <c r="E48" s="73">
        <v>677891.13457659259</v>
      </c>
    </row>
    <row r="49" spans="3:7" x14ac:dyDescent="0.25">
      <c r="C49" s="72" t="s">
        <v>155</v>
      </c>
      <c r="D49" s="43">
        <v>0.05</v>
      </c>
      <c r="E49" s="73">
        <v>97164.273722943151</v>
      </c>
    </row>
    <row r="50" spans="3:7" ht="15.75" thickBot="1" x14ac:dyDescent="0.3">
      <c r="C50" s="74" t="s">
        <v>156</v>
      </c>
      <c r="D50" s="47">
        <v>0.06</v>
      </c>
      <c r="E50" s="75">
        <v>312255.74548584456</v>
      </c>
    </row>
    <row r="51" spans="3:7" ht="15.75" thickBot="1" x14ac:dyDescent="0.3">
      <c r="C51" s="49" t="s">
        <v>157</v>
      </c>
      <c r="D51" s="50">
        <v>1</v>
      </c>
      <c r="E51" s="76">
        <v>2827656.8686463707</v>
      </c>
    </row>
    <row r="58" spans="3:7" x14ac:dyDescent="0.25">
      <c r="D58" s="88"/>
      <c r="G58" s="7"/>
    </row>
  </sheetData>
  <mergeCells count="4">
    <mergeCell ref="C24:F24"/>
    <mergeCell ref="C12:F12"/>
    <mergeCell ref="C6:E6"/>
    <mergeCell ref="B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C44A4-57DE-49A2-8310-D1A817985C90}">
  <dimension ref="A1:N92"/>
  <sheetViews>
    <sheetView topLeftCell="A11" zoomScale="62" workbookViewId="0">
      <selection activeCell="G37" sqref="G37"/>
    </sheetView>
  </sheetViews>
  <sheetFormatPr defaultRowHeight="15" x14ac:dyDescent="0.25"/>
  <cols>
    <col min="3" max="3" width="44" customWidth="1"/>
    <col min="4" max="4" width="27.85546875" customWidth="1"/>
    <col min="5" max="5" width="14.7109375" bestFit="1" customWidth="1"/>
    <col min="6" max="6" width="54.85546875" customWidth="1"/>
    <col min="7" max="7" width="23.7109375" customWidth="1"/>
    <col min="8" max="8" width="13.5703125" bestFit="1" customWidth="1"/>
  </cols>
  <sheetData>
    <row r="1" spans="1:5" ht="45" x14ac:dyDescent="0.25">
      <c r="A1" s="252" t="s">
        <v>496</v>
      </c>
      <c r="B1" s="277" t="s">
        <v>521</v>
      </c>
      <c r="C1" s="277"/>
      <c r="D1" s="277"/>
      <c r="E1" s="277"/>
    </row>
    <row r="3" spans="1:5" ht="23.25" x14ac:dyDescent="0.35">
      <c r="B3" s="249" t="s">
        <v>522</v>
      </c>
    </row>
    <row r="4" spans="1:5" ht="23.25" x14ac:dyDescent="0.35">
      <c r="B4" s="249"/>
    </row>
    <row r="5" spans="1:5" ht="21" x14ac:dyDescent="0.35">
      <c r="B5" s="248" t="s">
        <v>498</v>
      </c>
      <c r="D5" t="s">
        <v>505</v>
      </c>
    </row>
    <row r="6" spans="1:5" ht="21" x14ac:dyDescent="0.35">
      <c r="B6" s="248"/>
      <c r="C6" s="286" t="s">
        <v>127</v>
      </c>
      <c r="D6" s="287"/>
      <c r="E6" s="288"/>
    </row>
    <row r="7" spans="1:5" x14ac:dyDescent="0.25">
      <c r="C7" s="26"/>
      <c r="D7" s="26" t="s">
        <v>38</v>
      </c>
      <c r="E7" s="26" t="s">
        <v>126</v>
      </c>
    </row>
    <row r="8" spans="1:5" x14ac:dyDescent="0.25">
      <c r="C8" s="11" t="s">
        <v>124</v>
      </c>
      <c r="D8" s="23">
        <f>'Flows and Recovery'!D14</f>
        <v>2.2058823529411762</v>
      </c>
      <c r="E8" s="23">
        <f>'Flows and Recovery'!E14</f>
        <v>1.5</v>
      </c>
    </row>
    <row r="9" spans="1:5" x14ac:dyDescent="0.25">
      <c r="C9" s="11" t="s">
        <v>125</v>
      </c>
      <c r="D9" s="23">
        <f>'Flows and Recovery'!F14</f>
        <v>3.3823529411764701</v>
      </c>
      <c r="E9" s="23">
        <f>'Flows and Recovery'!G14</f>
        <v>2.2999999999999998</v>
      </c>
    </row>
    <row r="11" spans="1:5" ht="19.5" thickBot="1" x14ac:dyDescent="0.35">
      <c r="B11" s="247" t="s">
        <v>524</v>
      </c>
    </row>
    <row r="12" spans="1:5" ht="15.75" thickBot="1" x14ac:dyDescent="0.3">
      <c r="C12" s="1" t="s">
        <v>0</v>
      </c>
      <c r="D12" s="2" t="s">
        <v>74</v>
      </c>
      <c r="E12" s="2" t="s">
        <v>1</v>
      </c>
    </row>
    <row r="13" spans="1:5" ht="15.75" thickBot="1" x14ac:dyDescent="0.3">
      <c r="C13" s="3" t="s">
        <v>75</v>
      </c>
      <c r="D13" s="4" t="s">
        <v>59</v>
      </c>
      <c r="E13" s="4">
        <v>68</v>
      </c>
    </row>
    <row r="14" spans="1:5" ht="15.75" thickBot="1" x14ac:dyDescent="0.3">
      <c r="C14" s="3" t="s">
        <v>76</v>
      </c>
      <c r="D14" s="4" t="s">
        <v>77</v>
      </c>
      <c r="E14" s="4">
        <v>3</v>
      </c>
    </row>
    <row r="15" spans="1:5" ht="15.75" thickBot="1" x14ac:dyDescent="0.3">
      <c r="C15" s="3" t="s">
        <v>78</v>
      </c>
      <c r="D15" s="4" t="s">
        <v>77</v>
      </c>
      <c r="E15" s="4">
        <v>3</v>
      </c>
    </row>
    <row r="16" spans="1:5" ht="15.75" thickBot="1" x14ac:dyDescent="0.3">
      <c r="C16" s="3" t="s">
        <v>79</v>
      </c>
      <c r="D16" s="4" t="s">
        <v>77</v>
      </c>
      <c r="E16" s="4">
        <v>8</v>
      </c>
    </row>
    <row r="17" spans="3:6" ht="15.75" thickBot="1" x14ac:dyDescent="0.3">
      <c r="C17" s="3" t="s">
        <v>80</v>
      </c>
      <c r="D17" s="4" t="s">
        <v>81</v>
      </c>
      <c r="E17" s="4" t="s">
        <v>82</v>
      </c>
    </row>
    <row r="18" spans="3:6" ht="15.75" thickBot="1" x14ac:dyDescent="0.3">
      <c r="C18" s="3" t="s">
        <v>83</v>
      </c>
      <c r="D18" s="4" t="s">
        <v>84</v>
      </c>
      <c r="E18" s="20" t="s">
        <v>119</v>
      </c>
    </row>
    <row r="19" spans="3:6" ht="15.75" thickBot="1" x14ac:dyDescent="0.3">
      <c r="C19" s="3" t="s">
        <v>85</v>
      </c>
      <c r="D19" s="4" t="s">
        <v>77</v>
      </c>
      <c r="E19" s="4">
        <v>600</v>
      </c>
    </row>
    <row r="20" spans="3:6" ht="15.75" thickBot="1" x14ac:dyDescent="0.3">
      <c r="C20" s="3" t="s">
        <v>86</v>
      </c>
      <c r="D20" s="4" t="s">
        <v>77</v>
      </c>
      <c r="E20" s="4">
        <v>599</v>
      </c>
    </row>
    <row r="21" spans="3:6" ht="15.75" thickBot="1" x14ac:dyDescent="0.3">
      <c r="C21" s="3" t="s">
        <v>87</v>
      </c>
      <c r="D21" s="4" t="s">
        <v>77</v>
      </c>
      <c r="E21" s="4">
        <v>1200</v>
      </c>
    </row>
    <row r="22" spans="3:6" ht="15.75" thickBot="1" x14ac:dyDescent="0.3">
      <c r="C22" s="3" t="s">
        <v>88</v>
      </c>
      <c r="D22" s="4" t="s">
        <v>77</v>
      </c>
      <c r="E22" s="4">
        <v>2</v>
      </c>
    </row>
    <row r="23" spans="3:6" ht="15.75" thickBot="1" x14ac:dyDescent="0.3">
      <c r="C23" s="3" t="s">
        <v>89</v>
      </c>
      <c r="D23" s="4" t="s">
        <v>77</v>
      </c>
      <c r="E23" s="4">
        <v>2</v>
      </c>
    </row>
    <row r="24" spans="3:6" ht="15.75" thickBot="1" x14ac:dyDescent="0.3">
      <c r="C24" s="3" t="s">
        <v>90</v>
      </c>
      <c r="D24" s="4" t="s">
        <v>77</v>
      </c>
      <c r="E24" s="4">
        <v>2</v>
      </c>
    </row>
    <row r="25" spans="3:6" ht="15.75" thickBot="1" x14ac:dyDescent="0.3">
      <c r="C25" s="3" t="s">
        <v>91</v>
      </c>
      <c r="D25" s="4" t="s">
        <v>77</v>
      </c>
      <c r="E25" s="4">
        <v>1</v>
      </c>
    </row>
    <row r="26" spans="3:6" ht="15.75" thickBot="1" x14ac:dyDescent="0.3">
      <c r="C26" s="3" t="s">
        <v>92</v>
      </c>
      <c r="D26" s="4" t="s">
        <v>77</v>
      </c>
      <c r="E26" s="4">
        <v>1</v>
      </c>
      <c r="F26" t="s">
        <v>112</v>
      </c>
    </row>
    <row r="27" spans="3:6" ht="15.75" thickBot="1" x14ac:dyDescent="0.3">
      <c r="C27" s="3" t="s">
        <v>93</v>
      </c>
      <c r="D27" s="4" t="s">
        <v>94</v>
      </c>
      <c r="E27" s="4">
        <v>51</v>
      </c>
    </row>
    <row r="28" spans="3:6" ht="15.75" thickBot="1" x14ac:dyDescent="0.3">
      <c r="C28" s="3" t="s">
        <v>95</v>
      </c>
      <c r="D28" s="4" t="s">
        <v>96</v>
      </c>
      <c r="E28" s="4">
        <v>26</v>
      </c>
    </row>
    <row r="29" spans="3:6" ht="15.75" thickBot="1" x14ac:dyDescent="0.3">
      <c r="C29" s="3" t="s">
        <v>97</v>
      </c>
      <c r="D29" s="4" t="s">
        <v>94</v>
      </c>
      <c r="E29" s="4">
        <v>125</v>
      </c>
    </row>
    <row r="30" spans="3:6" ht="15.75" thickBot="1" x14ac:dyDescent="0.3">
      <c r="C30" s="3" t="s">
        <v>98</v>
      </c>
      <c r="D30" s="4" t="s">
        <v>96</v>
      </c>
      <c r="E30" s="4">
        <v>95</v>
      </c>
    </row>
    <row r="31" spans="3:6" ht="15.75" thickBot="1" x14ac:dyDescent="0.3">
      <c r="C31" s="3" t="s">
        <v>99</v>
      </c>
      <c r="D31" s="4" t="s">
        <v>100</v>
      </c>
      <c r="E31" s="8">
        <v>3000</v>
      </c>
    </row>
    <row r="32" spans="3:6" ht="15.75" thickBot="1" x14ac:dyDescent="0.3">
      <c r="C32" s="3" t="s">
        <v>101</v>
      </c>
      <c r="D32" s="4" t="s">
        <v>102</v>
      </c>
      <c r="E32" s="4">
        <v>17</v>
      </c>
    </row>
    <row r="33" spans="3:5" ht="15.75" thickBot="1" x14ac:dyDescent="0.3">
      <c r="C33" s="3" t="s">
        <v>103</v>
      </c>
      <c r="D33" s="4" t="s">
        <v>66</v>
      </c>
      <c r="E33" s="4">
        <v>15</v>
      </c>
    </row>
    <row r="34" spans="3:5" ht="15.75" thickBot="1" x14ac:dyDescent="0.3">
      <c r="C34" s="3" t="s">
        <v>104</v>
      </c>
      <c r="D34" s="4" t="s">
        <v>66</v>
      </c>
      <c r="E34" s="4">
        <v>10</v>
      </c>
    </row>
    <row r="35" spans="3:5" x14ac:dyDescent="0.25">
      <c r="C35" s="6" t="s">
        <v>525</v>
      </c>
      <c r="E35" s="9">
        <f>(E27+E28)/(D53/2)+(SUM(E31, E29, E30)*2/SUM(E19:E20))</f>
        <v>186.54761320708434</v>
      </c>
    </row>
    <row r="37" spans="3:5" x14ac:dyDescent="0.25">
      <c r="C37" s="284" t="s">
        <v>105</v>
      </c>
      <c r="D37" s="284"/>
      <c r="E37" s="11"/>
    </row>
    <row r="38" spans="3:5" x14ac:dyDescent="0.25">
      <c r="C38" s="11" t="s">
        <v>106</v>
      </c>
      <c r="D38" s="11"/>
      <c r="E38" s="11"/>
    </row>
    <row r="39" spans="3:5" x14ac:dyDescent="0.25">
      <c r="C39" s="11" t="s">
        <v>109</v>
      </c>
      <c r="D39" s="11">
        <f>E16*E15</f>
        <v>24</v>
      </c>
      <c r="E39" s="11"/>
    </row>
    <row r="40" spans="3:5" x14ac:dyDescent="0.25">
      <c r="C40" s="11" t="s">
        <v>107</v>
      </c>
      <c r="D40" s="11">
        <f>E19</f>
        <v>600</v>
      </c>
      <c r="E40" s="11"/>
    </row>
    <row r="41" spans="3:5" x14ac:dyDescent="0.25">
      <c r="C41" s="11" t="s">
        <v>108</v>
      </c>
      <c r="D41" s="11">
        <v>0.85</v>
      </c>
      <c r="E41" s="11" t="s">
        <v>47</v>
      </c>
    </row>
    <row r="42" spans="3:5" x14ac:dyDescent="0.25">
      <c r="C42" s="21" t="s">
        <v>110</v>
      </c>
      <c r="D42" s="11">
        <f>D40*D41</f>
        <v>510</v>
      </c>
      <c r="E42" s="11" t="s">
        <v>47</v>
      </c>
    </row>
    <row r="43" spans="3:5" x14ac:dyDescent="0.25">
      <c r="C43" s="11"/>
      <c r="D43" s="11"/>
      <c r="E43" s="11"/>
    </row>
    <row r="44" spans="3:5" x14ac:dyDescent="0.25">
      <c r="C44" s="11" t="s">
        <v>111</v>
      </c>
      <c r="D44" s="11">
        <f>D39*D42</f>
        <v>12240</v>
      </c>
      <c r="E44" s="11"/>
    </row>
    <row r="45" spans="3:5" x14ac:dyDescent="0.25">
      <c r="C45" s="12" t="s">
        <v>114</v>
      </c>
      <c r="D45" s="11">
        <f>D40*D39</f>
        <v>14400</v>
      </c>
      <c r="E45" s="11"/>
    </row>
    <row r="46" spans="3:5" x14ac:dyDescent="0.25">
      <c r="C46" s="11" t="s">
        <v>113</v>
      </c>
      <c r="D46" s="11">
        <v>2</v>
      </c>
      <c r="E46" s="11"/>
    </row>
    <row r="47" spans="3:5" x14ac:dyDescent="0.25">
      <c r="C47" s="12" t="s">
        <v>115</v>
      </c>
      <c r="D47" s="11">
        <f>D44*D46</f>
        <v>24480</v>
      </c>
      <c r="E47" s="11"/>
    </row>
    <row r="48" spans="3:5" x14ac:dyDescent="0.25">
      <c r="C48" s="12" t="s">
        <v>116</v>
      </c>
      <c r="D48" s="11">
        <f>D39*D40*D46</f>
        <v>28800</v>
      </c>
      <c r="E48" s="11"/>
    </row>
    <row r="50" spans="2:14" ht="21" x14ac:dyDescent="0.35">
      <c r="B50" s="248" t="s">
        <v>527</v>
      </c>
      <c r="D50" t="s">
        <v>499</v>
      </c>
      <c r="E50" t="s">
        <v>526</v>
      </c>
    </row>
    <row r="51" spans="2:14" x14ac:dyDescent="0.25">
      <c r="C51" s="246" t="s">
        <v>420</v>
      </c>
    </row>
    <row r="52" spans="2:14" x14ac:dyDescent="0.25">
      <c r="C52" s="11" t="s">
        <v>45</v>
      </c>
      <c r="D52" s="25">
        <v>0.68</v>
      </c>
      <c r="E52" s="11" t="s">
        <v>59</v>
      </c>
      <c r="F52" s="11"/>
    </row>
    <row r="53" spans="2:14" ht="60" x14ac:dyDescent="0.25">
      <c r="C53" s="11" t="s">
        <v>46</v>
      </c>
      <c r="D53" s="11">
        <v>0.85</v>
      </c>
      <c r="E53" s="11" t="s">
        <v>47</v>
      </c>
      <c r="F53" s="12" t="s">
        <v>71</v>
      </c>
    </row>
    <row r="54" spans="2:14" x14ac:dyDescent="0.25">
      <c r="C54" s="11" t="s">
        <v>48</v>
      </c>
      <c r="D54" s="13">
        <f>1/(500/0.67)</f>
        <v>1.34E-3</v>
      </c>
      <c r="E54" s="14" t="s">
        <v>60</v>
      </c>
      <c r="F54" s="11" t="s">
        <v>72</v>
      </c>
      <c r="N54" s="7"/>
    </row>
    <row r="55" spans="2:14" x14ac:dyDescent="0.25">
      <c r="C55" s="11" t="s">
        <v>49</v>
      </c>
      <c r="D55" s="13">
        <f>1/4500</f>
        <v>2.2222222222222223E-4</v>
      </c>
      <c r="E55" s="14" t="s">
        <v>61</v>
      </c>
      <c r="F55" s="11" t="s">
        <v>72</v>
      </c>
      <c r="N55" s="7"/>
    </row>
    <row r="56" spans="2:14" ht="15.75" x14ac:dyDescent="0.25">
      <c r="C56" s="11" t="s">
        <v>50</v>
      </c>
      <c r="D56" s="11">
        <v>2.5</v>
      </c>
      <c r="E56" s="15" t="s">
        <v>62</v>
      </c>
      <c r="F56" s="16" t="s">
        <v>118</v>
      </c>
      <c r="N56" s="7"/>
    </row>
    <row r="57" spans="2:14" x14ac:dyDescent="0.25">
      <c r="C57" s="11" t="s">
        <v>51</v>
      </c>
      <c r="D57" s="23">
        <f>AVERAGE(12,13)/D53</f>
        <v>14.705882352941178</v>
      </c>
      <c r="E57" s="11" t="s">
        <v>63</v>
      </c>
      <c r="F57" s="11" t="s">
        <v>73</v>
      </c>
    </row>
    <row r="58" spans="2:14" ht="15.75" x14ac:dyDescent="0.25">
      <c r="C58" s="11" t="s">
        <v>52</v>
      </c>
      <c r="D58" s="17">
        <v>0.95</v>
      </c>
      <c r="E58" s="11" t="s">
        <v>59</v>
      </c>
      <c r="F58" s="16" t="s">
        <v>118</v>
      </c>
    </row>
    <row r="59" spans="2:14" ht="15.75" x14ac:dyDescent="0.25">
      <c r="C59" s="11" t="s">
        <v>120</v>
      </c>
      <c r="D59" s="22">
        <f>AVERAGE(320, 360)/E19</f>
        <v>0.56666666666666665</v>
      </c>
      <c r="E59" s="10" t="s">
        <v>122</v>
      </c>
      <c r="F59" s="10" t="s">
        <v>121</v>
      </c>
    </row>
    <row r="60" spans="2:14" x14ac:dyDescent="0.25">
      <c r="C60" s="11" t="s">
        <v>53</v>
      </c>
      <c r="D60" s="11">
        <v>0</v>
      </c>
      <c r="E60" s="18" t="s">
        <v>64</v>
      </c>
      <c r="F60" s="11" t="s">
        <v>117</v>
      </c>
    </row>
    <row r="61" spans="2:14" x14ac:dyDescent="0.25">
      <c r="C61" s="11" t="s">
        <v>54</v>
      </c>
      <c r="D61" s="19">
        <f>E35</f>
        <v>186.54761320708434</v>
      </c>
      <c r="E61" s="11" t="s">
        <v>65</v>
      </c>
      <c r="F61" s="11"/>
    </row>
    <row r="62" spans="2:14" x14ac:dyDescent="0.25">
      <c r="C62" s="11" t="s">
        <v>55</v>
      </c>
      <c r="D62" s="11">
        <f>E34</f>
        <v>10</v>
      </c>
      <c r="E62" s="11" t="s">
        <v>66</v>
      </c>
      <c r="F62" s="11"/>
    </row>
    <row r="63" spans="2:14" x14ac:dyDescent="0.25">
      <c r="C63" s="11" t="s">
        <v>56</v>
      </c>
      <c r="D63" s="17">
        <v>1.65</v>
      </c>
      <c r="E63" s="11"/>
      <c r="F63" s="11"/>
    </row>
    <row r="64" spans="2:14" ht="15.75" x14ac:dyDescent="0.25">
      <c r="C64" s="11" t="s">
        <v>115</v>
      </c>
      <c r="D64" s="24">
        <v>24480</v>
      </c>
      <c r="E64" s="11"/>
      <c r="F64" s="10" t="s">
        <v>123</v>
      </c>
    </row>
    <row r="65" spans="2:6" x14ac:dyDescent="0.25">
      <c r="C65" s="11" t="s">
        <v>57</v>
      </c>
      <c r="D65" s="11">
        <v>1</v>
      </c>
      <c r="E65" s="11" t="s">
        <v>67</v>
      </c>
      <c r="F65" s="283" t="s">
        <v>70</v>
      </c>
    </row>
    <row r="66" spans="2:6" x14ac:dyDescent="0.25">
      <c r="C66" s="11" t="s">
        <v>58</v>
      </c>
      <c r="D66" s="11">
        <v>5</v>
      </c>
      <c r="E66" s="11" t="s">
        <v>68</v>
      </c>
      <c r="F66" s="283"/>
    </row>
    <row r="68" spans="2:6" ht="21" x14ac:dyDescent="0.35">
      <c r="B68" s="248" t="s">
        <v>535</v>
      </c>
      <c r="D68" t="s">
        <v>528</v>
      </c>
    </row>
    <row r="69" spans="2:6" ht="15.75" thickBot="1" x14ac:dyDescent="0.3">
      <c r="B69" s="246" t="s">
        <v>501</v>
      </c>
    </row>
    <row r="70" spans="2:6" ht="15.75" thickBot="1" x14ac:dyDescent="0.3">
      <c r="C70" s="81" t="s">
        <v>201</v>
      </c>
      <c r="D70" s="82"/>
    </row>
    <row r="71" spans="2:6" x14ac:dyDescent="0.25">
      <c r="C71" s="83" t="s">
        <v>202</v>
      </c>
      <c r="D71" s="54">
        <v>0</v>
      </c>
    </row>
    <row r="72" spans="2:6" x14ac:dyDescent="0.25">
      <c r="C72" s="84" t="s">
        <v>203</v>
      </c>
      <c r="D72" s="73">
        <v>2580606.4197774446</v>
      </c>
    </row>
    <row r="73" spans="2:6" x14ac:dyDescent="0.25">
      <c r="C73" s="84" t="s">
        <v>204</v>
      </c>
      <c r="D73" s="85">
        <v>457673.00984139403</v>
      </c>
    </row>
    <row r="74" spans="2:6" x14ac:dyDescent="0.25">
      <c r="C74" s="84" t="s">
        <v>205</v>
      </c>
      <c r="D74" s="73">
        <v>583270</v>
      </c>
    </row>
    <row r="75" spans="2:6" x14ac:dyDescent="0.25">
      <c r="C75" s="84" t="s">
        <v>206</v>
      </c>
      <c r="D75" s="73">
        <v>159606.4989767769</v>
      </c>
    </row>
    <row r="76" spans="2:6" ht="15.75" thickBot="1" x14ac:dyDescent="0.3">
      <c r="C76" s="86" t="s">
        <v>207</v>
      </c>
      <c r="D76" s="75">
        <v>806969.57904914638</v>
      </c>
    </row>
    <row r="77" spans="2:6" ht="15.75" thickBot="1" x14ac:dyDescent="0.3">
      <c r="C77" s="61" t="s">
        <v>208</v>
      </c>
      <c r="D77" s="80">
        <v>4154767.5217345832</v>
      </c>
    </row>
    <row r="78" spans="2:6" ht="15.75" thickBot="1" x14ac:dyDescent="0.3">
      <c r="C78" s="61" t="s">
        <v>209</v>
      </c>
      <c r="D78" s="87">
        <v>2.0049184882573403</v>
      </c>
    </row>
    <row r="79" spans="2:6" x14ac:dyDescent="0.25">
      <c r="C79" s="45"/>
      <c r="D79" s="45"/>
    </row>
    <row r="80" spans="2:6" ht="15.75" thickBot="1" x14ac:dyDescent="0.3">
      <c r="C80" s="45"/>
      <c r="D80" s="45"/>
    </row>
    <row r="81" spans="2:4" ht="15.75" thickBot="1" x14ac:dyDescent="0.3">
      <c r="C81" s="81" t="s">
        <v>210</v>
      </c>
      <c r="D81" s="82"/>
    </row>
    <row r="82" spans="2:4" x14ac:dyDescent="0.25">
      <c r="C82" s="83" t="s">
        <v>202</v>
      </c>
      <c r="D82" s="54">
        <v>0</v>
      </c>
    </row>
    <row r="83" spans="2:4" x14ac:dyDescent="0.25">
      <c r="C83" s="84" t="s">
        <v>203</v>
      </c>
      <c r="D83" s="73">
        <v>2580606.4197774446</v>
      </c>
    </row>
    <row r="84" spans="2:4" x14ac:dyDescent="0.25">
      <c r="C84" s="84" t="s">
        <v>204</v>
      </c>
      <c r="D84" s="85">
        <v>457673.00984139403</v>
      </c>
    </row>
    <row r="85" spans="2:4" x14ac:dyDescent="0.25">
      <c r="C85" s="84" t="s">
        <v>205</v>
      </c>
      <c r="D85" s="73">
        <v>0</v>
      </c>
    </row>
    <row r="86" spans="2:4" x14ac:dyDescent="0.25">
      <c r="C86" s="84" t="s">
        <v>211</v>
      </c>
      <c r="D86" s="73">
        <v>159606.4989767769</v>
      </c>
    </row>
    <row r="87" spans="2:4" ht="15.75" thickBot="1" x14ac:dyDescent="0.3">
      <c r="C87" s="86" t="s">
        <v>207</v>
      </c>
      <c r="D87" s="75">
        <v>806969.57904914638</v>
      </c>
    </row>
    <row r="88" spans="2:4" ht="15.75" thickBot="1" x14ac:dyDescent="0.3">
      <c r="C88" s="61" t="s">
        <v>208</v>
      </c>
      <c r="D88" s="80">
        <v>3571497.5217345832</v>
      </c>
    </row>
    <row r="89" spans="2:4" ht="15.75" thickBot="1" x14ac:dyDescent="0.3">
      <c r="C89" s="61" t="s">
        <v>209</v>
      </c>
      <c r="D89" s="87">
        <v>1.7234565772049406</v>
      </c>
    </row>
    <row r="91" spans="2:4" ht="15.75" thickBot="1" x14ac:dyDescent="0.3">
      <c r="B91" s="246" t="s">
        <v>502</v>
      </c>
      <c r="C91" s="78"/>
      <c r="D91" s="45"/>
    </row>
    <row r="92" spans="2:4" ht="15.75" thickBot="1" x14ac:dyDescent="0.3">
      <c r="C92" s="79" t="s">
        <v>200</v>
      </c>
      <c r="D92" s="80">
        <v>11107800</v>
      </c>
    </row>
  </sheetData>
  <mergeCells count="4">
    <mergeCell ref="B1:E1"/>
    <mergeCell ref="C6:E6"/>
    <mergeCell ref="F65:F66"/>
    <mergeCell ref="C37:D37"/>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6dd02d64-b7f3-43f7-a145-cfd68d338edf}" enabled="1" method="Standard" siteId="{0693b5ba-4b18-4d7b-9341-f32f400a54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Documentation</vt:lpstr>
      <vt:lpstr>Flows and Recovery</vt:lpstr>
      <vt:lpstr>Water Quality</vt:lpstr>
      <vt:lpstr>Baseline Cost Summary</vt:lpstr>
      <vt:lpstr>Case 2 MF-NF Cost Summary</vt:lpstr>
      <vt:lpstr>Case 3 EC-MF-NF Cost Summary</vt:lpstr>
      <vt:lpstr>WaTER I_O-Baseline-Alum</vt:lpstr>
      <vt:lpstr>WaTER I_O-Baseline-MediaF</vt:lpstr>
      <vt:lpstr>WaTER I_O - Baseline-EDR</vt:lpstr>
      <vt:lpstr>WaTER I_O - Case 2 MF</vt:lpstr>
      <vt:lpstr>WaTER I_O - Case 2 NF</vt:lpstr>
      <vt:lpstr>WaTER I_O - Case 3 EC</vt:lpstr>
      <vt:lpstr>WaTER I_O - Case 3 MF</vt:lpstr>
      <vt:lpstr>WaTER I_O - Case 3 NF</vt:lpstr>
      <vt:lpstr>WAVE IO</vt:lpstr>
      <vt:lpstr>'WaTER I_O - Case 3 NF'!EREff</vt:lpstr>
      <vt:lpstr>EREff</vt:lpstr>
    </vt:vector>
  </TitlesOfParts>
  <Company>Department of the Interior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Flint, Leah C</dc:creator>
  <cp:lastModifiedBy>Flint, Leah C</cp:lastModifiedBy>
  <dcterms:created xsi:type="dcterms:W3CDTF">2024-04-17T01:38:45Z</dcterms:created>
  <dcterms:modified xsi:type="dcterms:W3CDTF">2026-06-02T16:52:12Z</dcterms:modified>
</cp:coreProperties>
</file>